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https://rosehulman.sharepoint.com/sites/GrpDesignBuildFly-CapstoneDesign/Shared Documents/Capstone Design/Airplane Design Spreadsheets/"/>
    </mc:Choice>
  </mc:AlternateContent>
  <xr:revisionPtr revIDLastSave="1524" documentId="13_ncr:1_{14151CAD-B8F9-4BE7-9AD2-EF5E1407B6C3}" xr6:coauthVersionLast="47" xr6:coauthVersionMax="47" xr10:uidLastSave="{C01B21EA-F2A8-4EB8-BB84-D5E50B8FAC54}"/>
  <bookViews>
    <workbookView xWindow="-108" yWindow="-108" windowWidth="23256" windowHeight="12576" xr2:uid="{00000000-000D-0000-FFFF-FFFF00000000}"/>
  </bookViews>
  <sheets>
    <sheet name="Geometry" sheetId="6" r:id="rId1"/>
    <sheet name="Aero Anlys" sheetId="7" r:id="rId2"/>
    <sheet name="Constraint Analysis" sheetId="10" r:id="rId3"/>
    <sheet name="Mission" sheetId="14" r:id="rId4"/>
    <sheet name="Desired Criteria" sheetId="13" r:id="rId5"/>
    <sheet name="Sizing" sheetId="16" r:id="rId6"/>
    <sheet name="Stability" sheetId="17" r:id="rId7"/>
  </sheets>
  <definedNames>
    <definedName name="A">Stability!$B$6</definedName>
    <definedName name="a0">'Aero Anlys'!$B$7</definedName>
    <definedName name="acraft">'Aero Anlys'!$B$9</definedName>
    <definedName name="al0">'Aero Anlys'!$B$14</definedName>
    <definedName name="antennalength">'Desired Criteria'!#REF!</definedName>
    <definedName name="ar">Geometry!$B$3</definedName>
    <definedName name="areaantenna">'Desired Criteria'!#REF!</definedName>
    <definedName name="arr">Geometry!$B$43</definedName>
    <definedName name="artail">Geometry!$B$31</definedName>
    <definedName name="at">'Aero Anlys'!$B$6</definedName>
    <definedName name="atail">Stability!$F$3</definedName>
    <definedName name="awing">'Aero Anlys'!$B$5</definedName>
    <definedName name="b">Geometry!$F$2</definedName>
    <definedName name="cavg">Stability!$B$4</definedName>
    <definedName name="cbatt">'Desired Criteria'!$B$34</definedName>
    <definedName name="cd0">'Aero Anlys'!$B$17</definedName>
    <definedName name="cdantenna">'Desired Criteria'!#REF!</definedName>
    <definedName name="cddoublestar">'Aero Anlys'!$B$23</definedName>
    <definedName name="cddoublestarant">'Aero Anlys'!$E$23</definedName>
    <definedName name="cdstar">'Aero Anlys'!$B$22</definedName>
    <definedName name="cdstarant">'Aero Anlys'!$E$22</definedName>
    <definedName name="cfe">'Aero Anlys'!$B$19</definedName>
    <definedName name="cldoublestar">'Aero Anlys'!$B$21</definedName>
    <definedName name="climbrate">'Desired Criteria'!$B$18</definedName>
    <definedName name="clmind">'Aero Anlys'!$B$18</definedName>
    <definedName name="clmnf">'Aero Anlys'!$B$13</definedName>
    <definedName name="clstar">'Aero Anlys'!$B$20</definedName>
    <definedName name="cr">Geometry!$F$3</definedName>
    <definedName name="ct">Geometry!$F$4</definedName>
    <definedName name="deda">Stability!$B$5</definedName>
    <definedName name="density">'Desired Criteria'!$B$3</definedName>
    <definedName name="dfuse">'Aero Anlys'!$B$2</definedName>
    <definedName name="dh">'Desired Criteria'!$B$38</definedName>
    <definedName name="dsda">'Aero Anlys'!$B$11</definedName>
    <definedName name="dtail">'Aero Anlys'!$B$10</definedName>
    <definedName name="e">'Aero Anlys'!$B$8</definedName>
    <definedName name="etail">Stability!$F$2</definedName>
    <definedName name="etaprop">'Desired Criteria'!$B$16</definedName>
    <definedName name="g">'Desired Criteria'!$B$32</definedName>
    <definedName name="kone">'Aero Anlys'!$B$15</definedName>
    <definedName name="ktwo">'Aero Anlys'!$B$16</definedName>
    <definedName name="lambdamaxtht">Geometry!$F$36</definedName>
    <definedName name="laplength">'Desired Criteria'!$B$1</definedName>
    <definedName name="lesweep">Geometry!$B$5</definedName>
    <definedName name="lfuse">'Aero Anlys'!$B$1</definedName>
    <definedName name="lh">Geometry!$F$44</definedName>
    <definedName name="lt">'Aero Anlys'!$B$3</definedName>
    <definedName name="mac">Geometry!$J$5</definedName>
    <definedName name="mgc">Geometry!$F$5</definedName>
    <definedName name="mu">'Desired Criteria'!$B$36</definedName>
    <definedName name="ncircle">'Desired Criteria'!$B$14</definedName>
    <definedName name="ncruise">'Desired Criteria'!$B$8</definedName>
    <definedName name="omegaturn">'Desired Criteria'!$B$13</definedName>
    <definedName name="payloadpercent">'Desired Criteria'!$B$30</definedName>
    <definedName name="powerload">'Constraint Analysis'!$J$25</definedName>
    <definedName name="projS">Sizing!$B$24</definedName>
    <definedName name="rturn">'Desired Criteria'!$B$12</definedName>
    <definedName name="S">Geometry!$B$2</definedName>
    <definedName name="shts">Geometry!$B$30</definedName>
    <definedName name="sl">'Desired Criteria'!$B$20</definedName>
    <definedName name="slo">'Desired Criteria'!$B$22</definedName>
    <definedName name="SM">Stability!$B$8</definedName>
    <definedName name="svts">Geometry!$F$42</definedName>
    <definedName name="swets">'Aero Anlys'!$B$4</definedName>
    <definedName name="Ta">'Aero Anlys'!$G$9</definedName>
    <definedName name="taper">Geometry!$B$4</definedName>
    <definedName name="tc">Geometry!$D$42</definedName>
    <definedName name="tmaxang">Geometry!$F$8</definedName>
    <definedName name="tturn">'Desired Criteria'!$B$11</definedName>
    <definedName name="vcruise">'Desired Criteria'!$B$6</definedName>
    <definedName name="vturn">'Desired Criteria'!$B$10</definedName>
    <definedName name="W">'Aero Anlys'!$G$10</definedName>
    <definedName name="wbatts">Sizing!$B$2</definedName>
    <definedName name="weightbat">'Desired Criteria'!$B$24</definedName>
    <definedName name="weightesc">'Desired Criteria'!$B$28</definedName>
    <definedName name="weightmotor">'Desired Criteria'!$B$26</definedName>
    <definedName name="wengs">Sizing!$B$12</definedName>
    <definedName name="wfls">Sizing!$B$9</definedName>
    <definedName name="whts">Sizing!$B$7</definedName>
    <definedName name="wingload">'Constraint Analysis'!$J$24</definedName>
    <definedName name="wlands">Sizing!$B$15</definedName>
    <definedName name="wpays">Sizing!$B$21</definedName>
    <definedName name="wstructs">Sizing!$B$5</definedName>
    <definedName name="wsyss">Sizing!$B$18</definedName>
    <definedName name="wvts">Sizing!$B$8</definedName>
    <definedName name="wwings">Sizing!$B$6</definedName>
    <definedName name="xac">Stability!$B$2</definedName>
    <definedName name="xacbar">Stability!$B$3</definedName>
    <definedName name="xcg">Stability!$B$9</definedName>
    <definedName name="xcgbar">Stability!$B$10</definedName>
    <definedName name="xn">Stability!$B$7</definedName>
    <definedName name="zh">'Aero Anlys'!$B$12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4" l="1"/>
  <c r="O43" i="6"/>
  <c r="B2" i="16"/>
  <c r="D9" i="16"/>
  <c r="D5" i="16"/>
  <c r="D7" i="16"/>
  <c r="B21" i="16"/>
  <c r="B15" i="16"/>
  <c r="B25" i="16"/>
  <c r="B18" i="16"/>
  <c r="B12" i="16" a="1"/>
  <c r="B12" i="16" s="1"/>
  <c r="B7" i="16"/>
  <c r="B12" i="13"/>
  <c r="B13" i="13"/>
  <c r="B14" i="13" s="1" a="1"/>
  <c r="B14" i="13" s="1"/>
  <c r="B10" i="13"/>
  <c r="F30" i="6"/>
  <c r="F31" i="6" s="1"/>
  <c r="F2" i="6"/>
  <c r="N19" i="6" s="1"/>
  <c r="N22" i="6"/>
  <c r="F3" i="6" l="1"/>
  <c r="B4" i="17" s="1"/>
  <c r="O15" i="6"/>
  <c r="N15" i="6"/>
  <c r="O19" i="6"/>
  <c r="N18" i="6"/>
  <c r="N16" i="6" s="1"/>
  <c r="N23" i="6"/>
  <c r="B28" i="16"/>
  <c r="H31" i="6"/>
  <c r="F32" i="6"/>
  <c r="O17" i="6" l="1"/>
  <c r="O22" i="6"/>
  <c r="J5" i="6"/>
  <c r="F41" i="6" s="1"/>
  <c r="B3" i="7" s="1"/>
  <c r="F44" i="6" s="1"/>
  <c r="F4" i="6"/>
  <c r="F6" i="6" s="1"/>
  <c r="B2" i="17"/>
  <c r="B3" i="17" s="1"/>
  <c r="H32" i="6"/>
  <c r="F33" i="6"/>
  <c r="L41" i="6" l="1"/>
  <c r="O18" i="6"/>
  <c r="F5" i="6"/>
  <c r="F8" i="6"/>
  <c r="B8" i="7" s="1" a="1"/>
  <c r="B8" i="7" s="1"/>
  <c r="B15" i="7" s="1"/>
  <c r="H43" i="6"/>
  <c r="F42" i="6"/>
  <c r="B8" i="16" s="1"/>
  <c r="F43" i="6"/>
  <c r="B1" i="7" s="1"/>
  <c r="O16" i="6"/>
  <c r="O23" i="6"/>
  <c r="L44" i="6"/>
  <c r="L43" i="6"/>
  <c r="H33" i="6"/>
  <c r="F34" i="6"/>
  <c r="F36" i="6"/>
  <c r="F2" i="17" s="1" a="1"/>
  <c r="F2" i="17" s="1"/>
  <c r="F3" i="17" s="1"/>
  <c r="B5" i="7" l="1" a="1"/>
  <c r="B5" i="7" s="1"/>
  <c r="B11" i="7" s="1" a="1"/>
  <c r="B11" i="7" s="1"/>
  <c r="B10" i="7" s="1" a="1"/>
  <c r="B10" i="7" s="1"/>
  <c r="B9" i="7" s="1" a="1"/>
  <c r="B9" i="7" s="1"/>
  <c r="B13" i="7" s="1"/>
  <c r="B4" i="7" a="1"/>
  <c r="B4" i="7" s="1"/>
  <c r="B9" i="16"/>
  <c r="B18" i="7" l="1"/>
  <c r="B16" i="7" s="1" a="1"/>
  <c r="B16" i="7" s="1"/>
  <c r="B5" i="17"/>
  <c r="B6" i="17" s="1"/>
  <c r="B7" i="17" s="1" a="1"/>
  <c r="B7" i="17" s="1"/>
  <c r="B9" i="17" s="1"/>
  <c r="D9" i="17" s="1"/>
  <c r="C9" i="16"/>
  <c r="B5" i="16" s="1"/>
  <c r="C5" i="16"/>
  <c r="B26" i="7"/>
  <c r="D26" i="7" s="1"/>
  <c r="B10" i="17" l="1"/>
  <c r="B17" i="7"/>
  <c r="B38" i="7" s="1"/>
  <c r="G40" i="10" a="1"/>
  <c r="G40" i="10" s="1"/>
  <c r="C6" i="10" a="1"/>
  <c r="C6" i="10" s="1"/>
  <c r="C29" i="10" a="1"/>
  <c r="C29" i="10" s="1"/>
  <c r="G6" i="10" a="1"/>
  <c r="G6" i="10" s="1"/>
  <c r="B26" i="16"/>
  <c r="B24" i="16" a="1"/>
  <c r="B24" i="16" s="1"/>
  <c r="B27" i="16" s="1"/>
  <c r="G34" i="10" l="1" a="1"/>
  <c r="G34" i="10" s="1"/>
  <c r="G20" i="10" a="1"/>
  <c r="G20" i="10" s="1"/>
  <c r="F6" i="10"/>
  <c r="C28" i="10" a="1"/>
  <c r="C28" i="10" s="1"/>
  <c r="B53" i="7"/>
  <c r="C33" i="10" a="1"/>
  <c r="C33" i="10" s="1"/>
  <c r="C18" i="10" a="1"/>
  <c r="C18" i="10" s="1"/>
  <c r="F40" i="10"/>
  <c r="G9" i="10" a="1"/>
  <c r="G9" i="10" s="1"/>
  <c r="F32" i="10"/>
  <c r="G15" i="10" a="1"/>
  <c r="G15" i="10" s="1"/>
  <c r="C25" i="10" a="1"/>
  <c r="C25" i="10" s="1"/>
  <c r="E36" i="10"/>
  <c r="G26" i="10" a="1"/>
  <c r="G26" i="10" s="1"/>
  <c r="G48" i="10" a="1"/>
  <c r="G48" i="10" s="1"/>
  <c r="G35" i="10" a="1"/>
  <c r="G35" i="10" s="1"/>
  <c r="G36" i="10" a="1"/>
  <c r="G36" i="10" s="1"/>
  <c r="F36" i="10"/>
  <c r="B50" i="7"/>
  <c r="E42" i="10"/>
  <c r="E20" i="10"/>
  <c r="C45" i="10" a="1"/>
  <c r="C45" i="10" s="1"/>
  <c r="E22" i="10"/>
  <c r="E8" i="10"/>
  <c r="B42" i="7"/>
  <c r="E13" i="10"/>
  <c r="F5" i="10"/>
  <c r="G25" i="10" a="1"/>
  <c r="G25" i="10" s="1"/>
  <c r="C48" i="10" a="1"/>
  <c r="C48" i="10" s="1"/>
  <c r="B56" i="7"/>
  <c r="G11" i="10" a="1"/>
  <c r="G11" i="10" s="1"/>
  <c r="C16" i="10" a="1"/>
  <c r="C16" i="10" s="1"/>
  <c r="G38" i="10" a="1"/>
  <c r="G38" i="10" s="1"/>
  <c r="F43" i="10"/>
  <c r="C30" i="10" a="1"/>
  <c r="C30" i="10" s="1"/>
  <c r="G23" i="10" a="1"/>
  <c r="G23" i="10" s="1"/>
  <c r="B55" i="7"/>
  <c r="G42" i="10" a="1"/>
  <c r="G42" i="10" s="1"/>
  <c r="G13" i="10" a="1"/>
  <c r="G13" i="10" s="1"/>
  <c r="E6" i="10"/>
  <c r="E11" i="10"/>
  <c r="G30" i="10" a="1"/>
  <c r="G30" i="10" s="1"/>
  <c r="G12" i="10" a="1"/>
  <c r="G12" i="10" s="1"/>
  <c r="E29" i="10"/>
  <c r="E35" i="10"/>
  <c r="B39" i="7"/>
  <c r="C13" i="10" a="1"/>
  <c r="C13" i="10" s="1"/>
  <c r="F35" i="10"/>
  <c r="B43" i="7"/>
  <c r="G39" i="10" a="1"/>
  <c r="G39" i="10" s="1"/>
  <c r="B57" i="7"/>
  <c r="F51" i="10"/>
  <c r="G47" i="10" a="1"/>
  <c r="G47" i="10" s="1"/>
  <c r="C12" i="10" a="1"/>
  <c r="C12" i="10" s="1"/>
  <c r="B1" i="14"/>
  <c r="G16" i="10" a="1"/>
  <c r="G16" i="10" s="1"/>
  <c r="G51" i="10" a="1"/>
  <c r="G51" i="10" s="1"/>
  <c r="C11" i="10" a="1"/>
  <c r="C11" i="10" s="1"/>
  <c r="B58" i="7"/>
  <c r="E28" i="10"/>
  <c r="C23" i="10" a="1"/>
  <c r="C23" i="10" s="1"/>
  <c r="G29" i="10" a="1"/>
  <c r="G29" i="10" s="1"/>
  <c r="G44" i="10" a="1"/>
  <c r="G44" i="10" s="1"/>
  <c r="G19" i="10" a="1"/>
  <c r="G19" i="10" s="1"/>
  <c r="G4" i="10" a="1"/>
  <c r="G4" i="10" s="1"/>
  <c r="E37" i="10"/>
  <c r="G31" i="10" a="1"/>
  <c r="G31" i="10" s="1"/>
  <c r="F8" i="10"/>
  <c r="G10" i="10" a="1"/>
  <c r="G10" i="10" s="1"/>
  <c r="F28" i="10"/>
  <c r="E31" i="10"/>
  <c r="G33" i="10" a="1"/>
  <c r="G33" i="10" s="1"/>
  <c r="E46" i="10"/>
  <c r="C8" i="10" a="1"/>
  <c r="C8" i="10" s="1"/>
  <c r="B51" i="7"/>
  <c r="G49" i="10" a="1"/>
  <c r="G49" i="10" s="1"/>
  <c r="F17" i="10"/>
  <c r="G50" i="10" a="1"/>
  <c r="G50" i="10" s="1"/>
  <c r="F22" i="10"/>
  <c r="E49" i="10"/>
  <c r="G37" i="10" a="1"/>
  <c r="G37" i="10" s="1"/>
  <c r="G46" i="10" a="1"/>
  <c r="G46" i="10" s="1"/>
  <c r="E4" i="10"/>
  <c r="B41" i="7"/>
  <c r="C20" i="10" a="1"/>
  <c r="C20" i="10" s="1"/>
  <c r="C37" i="10" a="1"/>
  <c r="C37" i="10" s="1"/>
  <c r="C15" i="10" a="1"/>
  <c r="C15" i="10" s="1"/>
  <c r="C19" i="10" a="1"/>
  <c r="C19" i="10" s="1"/>
  <c r="E48" i="10"/>
  <c r="G17" i="10" a="1"/>
  <c r="G17" i="10" s="1"/>
  <c r="G45" i="10" a="1"/>
  <c r="G45" i="10" s="1"/>
  <c r="F16" i="10"/>
  <c r="E7" i="10"/>
  <c r="B44" i="7"/>
  <c r="G27" i="10" a="1"/>
  <c r="G27" i="10" s="1"/>
  <c r="G8" i="10" a="1"/>
  <c r="G8" i="10" s="1"/>
  <c r="G41" i="10" a="1"/>
  <c r="G41" i="10" s="1"/>
  <c r="G3" i="10" a="1"/>
  <c r="G3" i="10" s="1"/>
  <c r="C43" i="10" a="1"/>
  <c r="C43" i="10" s="1"/>
  <c r="F46" i="10"/>
  <c r="E23" i="10"/>
  <c r="F21" i="10"/>
  <c r="C9" i="10" a="1"/>
  <c r="C9" i="10" s="1"/>
  <c r="C27" i="10" a="1"/>
  <c r="C27" i="10" s="1"/>
  <c r="G32" i="10" a="1"/>
  <c r="G32" i="10" s="1"/>
  <c r="E21" i="10"/>
  <c r="G14" i="10" a="1"/>
  <c r="G14" i="10" s="1"/>
  <c r="G52" i="10" a="1"/>
  <c r="G52" i="10" s="1"/>
  <c r="G21" i="10" a="1"/>
  <c r="G21" i="10" s="1"/>
  <c r="F29" i="10"/>
  <c r="C52" i="10" a="1"/>
  <c r="C52" i="10" s="1"/>
  <c r="B46" i="7"/>
  <c r="E24" i="10"/>
  <c r="G5" i="10" a="1"/>
  <c r="G5" i="10" s="1"/>
  <c r="C44" i="10" a="1"/>
  <c r="C44" i="10" s="1"/>
  <c r="C51" i="10" a="1"/>
  <c r="C51" i="10" s="1"/>
  <c r="F31" i="10"/>
  <c r="F10" i="10"/>
  <c r="F12" i="10"/>
  <c r="C42" i="10" a="1"/>
  <c r="C42" i="10" s="1"/>
  <c r="C35" i="10" a="1"/>
  <c r="C35" i="10" s="1"/>
  <c r="C34" i="10" a="1"/>
  <c r="C34" i="10" s="1"/>
  <c r="B52" i="7"/>
  <c r="F44" i="10"/>
  <c r="C50" i="10" a="1"/>
  <c r="C50" i="10" s="1"/>
  <c r="F48" i="10"/>
  <c r="E52" i="10"/>
  <c r="B21" i="7"/>
  <c r="B47" i="7"/>
  <c r="E15" i="10"/>
  <c r="B40" i="7"/>
  <c r="F38" i="10"/>
  <c r="F49" i="10"/>
  <c r="E14" i="10"/>
  <c r="B45" i="7"/>
  <c r="C32" i="10" a="1"/>
  <c r="C32" i="10" s="1"/>
  <c r="C24" i="10" a="1"/>
  <c r="C24" i="10" s="1"/>
  <c r="C46" i="10" a="1"/>
  <c r="C46" i="10" s="1"/>
  <c r="F39" i="10"/>
  <c r="F37" i="10"/>
  <c r="C17" i="10" a="1"/>
  <c r="C17" i="10" s="1"/>
  <c r="F47" i="10"/>
  <c r="F19" i="10"/>
  <c r="E32" i="10"/>
  <c r="F9" i="10"/>
  <c r="E41" i="10"/>
  <c r="F53" i="10"/>
  <c r="C36" i="10" a="1"/>
  <c r="C36" i="10" s="1"/>
  <c r="E30" i="10"/>
  <c r="E34" i="10"/>
  <c r="F27" i="10"/>
  <c r="F42" i="10"/>
  <c r="C3" i="10" a="1"/>
  <c r="C3" i="10" s="1"/>
  <c r="B20" i="7"/>
  <c r="B22" i="7" s="1"/>
  <c r="E33" i="10"/>
  <c r="C31" i="10" a="1"/>
  <c r="C31" i="10" s="1"/>
  <c r="F18" i="10"/>
  <c r="E10" i="10"/>
  <c r="C14" i="10" a="1"/>
  <c r="C14" i="10" s="1"/>
  <c r="F23" i="10"/>
  <c r="F15" i="10"/>
  <c r="E17" i="10"/>
  <c r="C4" i="10" a="1"/>
  <c r="C4" i="10" s="1"/>
  <c r="F14" i="10"/>
  <c r="F30" i="10"/>
  <c r="E40" i="10"/>
  <c r="C5" i="10" a="1"/>
  <c r="C5" i="10" s="1"/>
  <c r="G43" i="10" a="1"/>
  <c r="G43" i="10" s="1"/>
  <c r="G22" i="10" a="1"/>
  <c r="G22" i="10" s="1"/>
  <c r="E25" i="10"/>
  <c r="F26" i="10"/>
  <c r="E45" i="10"/>
  <c r="E39" i="10"/>
  <c r="F7" i="10"/>
  <c r="F41" i="10"/>
  <c r="F34" i="10"/>
  <c r="E12" i="10"/>
  <c r="E38" i="10"/>
  <c r="F45" i="10"/>
  <c r="F33" i="10"/>
  <c r="E16" i="10"/>
  <c r="F52" i="10"/>
  <c r="F4" i="10"/>
  <c r="F25" i="10"/>
  <c r="G7" i="10" a="1"/>
  <c r="G7" i="10" s="1"/>
  <c r="F50" i="10"/>
  <c r="B49" i="7"/>
  <c r="C47" i="10" a="1"/>
  <c r="C47" i="10" s="1"/>
  <c r="E51" i="10"/>
  <c r="C21" i="10" a="1"/>
  <c r="C21" i="10" s="1"/>
  <c r="E44" i="10"/>
  <c r="F13" i="10"/>
  <c r="B54" i="7"/>
  <c r="E26" i="10"/>
  <c r="F3" i="10"/>
  <c r="G18" i="10" a="1"/>
  <c r="G18" i="10" s="1"/>
  <c r="F24" i="10"/>
  <c r="C22" i="10" a="1"/>
  <c r="C22" i="10" s="1"/>
  <c r="C38" i="10" a="1"/>
  <c r="C38" i="10" s="1"/>
  <c r="C7" i="10" a="1"/>
  <c r="C7" i="10" s="1"/>
  <c r="C26" i="10" a="1"/>
  <c r="C26" i="10" s="1"/>
  <c r="E5" i="10"/>
  <c r="E19" i="10"/>
  <c r="E27" i="10"/>
  <c r="E9" i="10"/>
  <c r="B48" i="7"/>
  <c r="E18" i="10"/>
  <c r="E43" i="10"/>
  <c r="C40" i="10" a="1"/>
  <c r="C40" i="10" s="1"/>
  <c r="C39" i="10" a="1"/>
  <c r="C39" i="10" s="1"/>
  <c r="F11" i="10"/>
  <c r="E3" i="10"/>
  <c r="C10" i="10" a="1"/>
  <c r="C10" i="10" s="1"/>
  <c r="F20" i="10"/>
  <c r="G28" i="10" a="1"/>
  <c r="G28" i="10" s="1"/>
  <c r="G24" i="10" a="1"/>
  <c r="G24" i="10" s="1"/>
  <c r="E50" i="10"/>
  <c r="C49" i="10" a="1"/>
  <c r="C49" i="10" s="1"/>
  <c r="E47" i="10"/>
  <c r="C41" i="10" a="1"/>
  <c r="C41" i="10" s="1"/>
  <c r="B25" i="7"/>
  <c r="B23" i="7" l="1"/>
  <c r="D29" i="10" l="1"/>
  <c r="D13" i="10"/>
  <c r="D3" i="10"/>
  <c r="D33" i="10"/>
  <c r="D36" i="10"/>
  <c r="D23" i="10"/>
  <c r="D51" i="10"/>
  <c r="D34" i="10"/>
  <c r="D42" i="10"/>
  <c r="D11" i="10"/>
  <c r="D7" i="10"/>
  <c r="D25" i="10"/>
  <c r="D38" i="10"/>
  <c r="D10" i="10"/>
  <c r="D21" i="10"/>
  <c r="D37" i="10"/>
  <c r="D9" i="10"/>
  <c r="D17" i="10"/>
  <c r="D4" i="10"/>
  <c r="D31" i="10"/>
  <c r="D28" i="10"/>
  <c r="D18" i="10"/>
  <c r="D48" i="10"/>
  <c r="D24" i="10"/>
  <c r="D16" i="10"/>
  <c r="D46" i="10"/>
  <c r="D30" i="10"/>
  <c r="D26" i="10"/>
  <c r="D6" i="10"/>
  <c r="D52" i="10"/>
  <c r="D39" i="10"/>
  <c r="D40" i="10"/>
  <c r="D12" i="10"/>
  <c r="D49" i="10"/>
  <c r="D35" i="10"/>
  <c r="D20" i="10"/>
  <c r="D5" i="10"/>
  <c r="D22" i="10"/>
  <c r="D45" i="10"/>
  <c r="D44" i="10"/>
  <c r="D50" i="10"/>
  <c r="B3" i="14" a="1"/>
  <c r="B3" i="14" s="1"/>
  <c r="B8" i="14" s="1"/>
  <c r="B10" i="14" s="1"/>
  <c r="B12" i="14" s="1"/>
  <c r="B13" i="14" s="1"/>
  <c r="D32" i="10"/>
  <c r="D43" i="10"/>
  <c r="D41" i="10"/>
  <c r="D27" i="10"/>
  <c r="D15" i="10"/>
  <c r="D8" i="10"/>
  <c r="D47" i="10"/>
  <c r="D14" i="10"/>
  <c r="D19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Mayhew, James E</author>
  </authors>
  <commentList>
    <comment ref="E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Mayhew, James E:</t>
        </r>
        <r>
          <rPr>
            <sz val="9"/>
            <color indexed="81"/>
            <rFont val="Tahoma"/>
            <family val="2"/>
          </rPr>
          <t xml:space="preserve">
mean geometric chord</t>
        </r>
      </text>
    </comment>
    <comment ref="A30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Mayhew, James E:</t>
        </r>
        <r>
          <rPr>
            <sz val="9"/>
            <color indexed="81"/>
            <rFont val="Tahoma"/>
            <family val="2"/>
          </rPr>
          <t xml:space="preserve">
typical 0.15 to 0.25</t>
        </r>
      </text>
    </comment>
    <comment ref="A4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Mayhew, James E:</t>
        </r>
        <r>
          <rPr>
            <sz val="9"/>
            <color indexed="81"/>
            <rFont val="Tahoma"/>
            <family val="2"/>
          </rPr>
          <t xml:space="preserve">
typical 0.5 to 0.7
for stability</t>
        </r>
      </text>
    </comment>
    <comment ref="E41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Mayhew, James E:</t>
        </r>
        <r>
          <rPr>
            <sz val="9"/>
            <color indexed="81"/>
            <rFont val="Tahoma"/>
            <family val="2"/>
          </rPr>
          <t xml:space="preserve">
typical 0.45 to 0.65 of Lfuselage</t>
        </r>
      </text>
    </comment>
    <comment ref="A42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Mayhew, James E:</t>
        </r>
        <r>
          <rPr>
            <sz val="9"/>
            <color indexed="81"/>
            <rFont val="Tahoma"/>
            <family val="2"/>
          </rPr>
          <t xml:space="preserve">
typical 0.02 to 0.04
for stability</t>
        </r>
      </text>
    </comment>
    <comment ref="E4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Mayhew, James E:</t>
        </r>
        <r>
          <rPr>
            <sz val="9"/>
            <color indexed="81"/>
            <rFont val="Tahoma"/>
            <family val="2"/>
          </rPr>
          <t xml:space="preserve">
typical 0.06 to 0.12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Boling, Preston R.</author>
  </authors>
  <commentList>
    <comment ref="B6" authorId="0" shapeId="0" xr:uid="{02572CD9-5CD3-452F-AED0-18D70576087E}">
      <text>
        <r>
          <rPr>
            <b/>
            <sz val="9"/>
            <color indexed="81"/>
            <rFont val="Tahoma"/>
            <family val="2"/>
          </rPr>
          <t>Boling, Preston R.:</t>
        </r>
        <r>
          <rPr>
            <sz val="9"/>
            <color indexed="81"/>
            <rFont val="Tahoma"/>
            <family val="2"/>
          </rPr>
          <t xml:space="preserve">
This comes from experimental data determined by the planes in our space, the equation commonly used in ME461 does not scale to RC aircraft</t>
        </r>
      </text>
    </comment>
    <comment ref="B21" authorId="0" shapeId="0" xr:uid="{2C3324E9-B9C2-43BF-A257-0E996DEDBFC2}">
      <text>
        <r>
          <rPr>
            <b/>
            <sz val="9"/>
            <color indexed="81"/>
            <rFont val="Tahoma"/>
            <family val="2"/>
          </rPr>
          <t>Boling, Preston R.:</t>
        </r>
        <r>
          <rPr>
            <sz val="9"/>
            <color indexed="81"/>
            <rFont val="Tahoma"/>
            <family val="2"/>
          </rPr>
          <t xml:space="preserve">
Minimum
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<sst xmlns="http://schemas.openxmlformats.org/spreadsheetml/2006/main" count="225" uniqueCount="175">
  <si>
    <t>You Choose - WING</t>
  </si>
  <si>
    <t>Spreadsheet Computes</t>
  </si>
  <si>
    <t>S wing</t>
  </si>
  <si>
    <t>ft^2</t>
  </si>
  <si>
    <t>b</t>
  </si>
  <si>
    <t>ft</t>
  </si>
  <si>
    <t>AR wing</t>
  </si>
  <si>
    <t>cr</t>
  </si>
  <si>
    <r>
      <t xml:space="preserve">l </t>
    </r>
    <r>
      <rPr>
        <sz val="10"/>
        <rFont val="Arial"/>
        <family val="2"/>
      </rPr>
      <t>wing</t>
    </r>
  </si>
  <si>
    <t>ct</t>
  </si>
  <si>
    <r>
      <t>L</t>
    </r>
    <r>
      <rPr>
        <vertAlign val="subscript"/>
        <sz val="10"/>
        <rFont val="Arial"/>
        <family val="2"/>
      </rPr>
      <t xml:space="preserve">LE </t>
    </r>
    <r>
      <rPr>
        <sz val="10"/>
        <rFont val="Arial"/>
        <family val="2"/>
      </rPr>
      <t>wing</t>
    </r>
  </si>
  <si>
    <t>deg</t>
  </si>
  <si>
    <t>mgc</t>
  </si>
  <si>
    <t>mac</t>
  </si>
  <si>
    <r>
      <t>L</t>
    </r>
    <r>
      <rPr>
        <vertAlign val="subscript"/>
        <sz val="10"/>
        <rFont val="Arial"/>
        <family val="2"/>
      </rPr>
      <t>TE</t>
    </r>
  </si>
  <si>
    <t>location maxt</t>
  </si>
  <si>
    <t>fraction of chord</t>
  </si>
  <si>
    <r>
      <t>L</t>
    </r>
    <r>
      <rPr>
        <vertAlign val="subscript"/>
        <sz val="10"/>
        <rFont val="Arial"/>
        <family val="2"/>
      </rPr>
      <t>max t</t>
    </r>
  </si>
  <si>
    <t>Points to Plot</t>
  </si>
  <si>
    <t>span axis</t>
  </si>
  <si>
    <t>chord axis</t>
  </si>
  <si>
    <t>LE of wing root</t>
  </si>
  <si>
    <t>Legend:</t>
  </si>
  <si>
    <t>LE of R tip</t>
  </si>
  <si>
    <t>blue line - planform of wing</t>
  </si>
  <si>
    <t>TE of R tip</t>
  </si>
  <si>
    <t>pink line - line of max thickness</t>
  </si>
  <si>
    <t>TE of wing root</t>
  </si>
  <si>
    <t>TE of L tip</t>
  </si>
  <si>
    <t>LE of L tip</t>
  </si>
  <si>
    <t>max t of wing root</t>
  </si>
  <si>
    <t>max t of L tip</t>
  </si>
  <si>
    <t>You Choose - TAIL</t>
  </si>
  <si>
    <r>
      <t>S</t>
    </r>
    <r>
      <rPr>
        <vertAlign val="subscript"/>
        <sz val="10"/>
        <rFont val="Arial"/>
        <family val="2"/>
      </rPr>
      <t>HT</t>
    </r>
    <r>
      <rPr>
        <sz val="10"/>
        <rFont val="Arial"/>
        <family val="2"/>
      </rPr>
      <t>/S</t>
    </r>
  </si>
  <si>
    <r>
      <t>S</t>
    </r>
    <r>
      <rPr>
        <vertAlign val="subscript"/>
        <sz val="10"/>
        <rFont val="Arial"/>
        <family val="2"/>
      </rPr>
      <t>HT</t>
    </r>
  </si>
  <si>
    <t>AR tail</t>
  </si>
  <si>
    <t>bht</t>
  </si>
  <si>
    <r>
      <t xml:space="preserve">l </t>
    </r>
    <r>
      <rPr>
        <sz val="10"/>
        <rFont val="Arial"/>
        <family val="2"/>
      </rPr>
      <t>tail</t>
    </r>
  </si>
  <si>
    <t>crht</t>
  </si>
  <si>
    <r>
      <t>L</t>
    </r>
    <r>
      <rPr>
        <vertAlign val="subscript"/>
        <sz val="10"/>
        <rFont val="Arial"/>
        <family val="2"/>
      </rPr>
      <t xml:space="preserve">LE </t>
    </r>
    <r>
      <rPr>
        <sz val="10"/>
        <rFont val="Arial"/>
        <family val="2"/>
      </rPr>
      <t>tail</t>
    </r>
  </si>
  <si>
    <t>ctht</t>
  </si>
  <si>
    <r>
      <t>L</t>
    </r>
    <r>
      <rPr>
        <vertAlign val="subscript"/>
        <sz val="10"/>
        <rFont val="Arial"/>
        <family val="2"/>
      </rPr>
      <t>TEht</t>
    </r>
  </si>
  <si>
    <r>
      <t>L</t>
    </r>
    <r>
      <rPr>
        <vertAlign val="subscript"/>
        <sz val="10"/>
        <rFont val="Arial"/>
        <family val="2"/>
      </rPr>
      <t>max tht</t>
    </r>
  </si>
  <si>
    <t>You Choose - TAIL VOLUME RATIOS</t>
  </si>
  <si>
    <r>
      <t>V</t>
    </r>
    <r>
      <rPr>
        <vertAlign val="subscript"/>
        <sz val="10"/>
        <rFont val="Arial"/>
        <family val="2"/>
      </rPr>
      <t>HT</t>
    </r>
    <r>
      <rPr>
        <sz val="10"/>
        <rFont val="Arial"/>
        <family val="2"/>
      </rPr>
      <t xml:space="preserve"> 0.5-0.7</t>
    </r>
  </si>
  <si>
    <r>
      <t>L</t>
    </r>
    <r>
      <rPr>
        <vertAlign val="subscript"/>
        <sz val="10"/>
        <rFont val="Arial"/>
        <family val="2"/>
      </rPr>
      <t>T</t>
    </r>
  </si>
  <si>
    <t>(typ 0.45-0.65 Lfuse)</t>
  </si>
  <si>
    <r>
      <t>V</t>
    </r>
    <r>
      <rPr>
        <vertAlign val="subscript"/>
        <sz val="10"/>
        <rFont val="Arial"/>
        <family val="2"/>
      </rPr>
      <t>VT</t>
    </r>
    <r>
      <rPr>
        <sz val="10"/>
        <rFont val="Arial"/>
        <family val="2"/>
      </rPr>
      <t xml:space="preserve"> 0.02-0.04</t>
    </r>
  </si>
  <si>
    <r>
      <t>S</t>
    </r>
    <r>
      <rPr>
        <vertAlign val="subscript"/>
        <sz val="10"/>
        <rFont val="Arial"/>
        <family val="2"/>
      </rPr>
      <t>VT</t>
    </r>
    <r>
      <rPr>
        <sz val="10"/>
        <rFont val="Arial"/>
        <family val="2"/>
      </rPr>
      <t>/S</t>
    </r>
  </si>
  <si>
    <t>(target 0.06-0.12)</t>
  </si>
  <si>
    <t>est Lfuse</t>
  </si>
  <si>
    <t>to</t>
  </si>
  <si>
    <t>Lfuse</t>
  </si>
  <si>
    <t>Dfuse</t>
  </si>
  <si>
    <t>LT</t>
  </si>
  <si>
    <t>Swet/s</t>
  </si>
  <si>
    <t>awing</t>
  </si>
  <si>
    <t>a0</t>
  </si>
  <si>
    <t>e</t>
  </si>
  <si>
    <t>acraft</t>
  </si>
  <si>
    <t>dtail</t>
  </si>
  <si>
    <t>dsda</t>
  </si>
  <si>
    <t>zh</t>
  </si>
  <si>
    <t>CLMNF</t>
  </si>
  <si>
    <t>al0</t>
  </si>
  <si>
    <t>k1</t>
  </si>
  <si>
    <t>k2</t>
  </si>
  <si>
    <t>cd0</t>
  </si>
  <si>
    <t>Clmind</t>
  </si>
  <si>
    <t>cfe</t>
  </si>
  <si>
    <t>CL*</t>
  </si>
  <si>
    <t>CL**</t>
  </si>
  <si>
    <t>CD*</t>
  </si>
  <si>
    <t>CD**</t>
  </si>
  <si>
    <t>Drag Polar Down Below</t>
  </si>
  <si>
    <t>CL</t>
  </si>
  <si>
    <t>CD</t>
  </si>
  <si>
    <t>Constraints:</t>
  </si>
  <si>
    <t>Cruise</t>
  </si>
  <si>
    <t>Climb Rate</t>
  </si>
  <si>
    <t>Sustained Loading</t>
  </si>
  <si>
    <t>Landing</t>
  </si>
  <si>
    <t>Take-Off</t>
  </si>
  <si>
    <t>Type:</t>
  </si>
  <si>
    <t>WL</t>
  </si>
  <si>
    <t>PL</t>
  </si>
  <si>
    <t>Selected Design Point:</t>
  </si>
  <si>
    <t>W/S</t>
  </si>
  <si>
    <t>P/W</t>
  </si>
  <si>
    <t>Take Off:</t>
  </si>
  <si>
    <t>Climb:</t>
  </si>
  <si>
    <t>Cruise:</t>
  </si>
  <si>
    <t>Total:</t>
  </si>
  <si>
    <t>Cell Voltage</t>
  </si>
  <si>
    <t>Min Voltage</t>
  </si>
  <si>
    <t>Used Voltage:</t>
  </si>
  <si>
    <t>% Used Battery</t>
  </si>
  <si>
    <t>%</t>
  </si>
  <si>
    <t>Battery Weight</t>
  </si>
  <si>
    <t>Wbatt/S</t>
  </si>
  <si>
    <t>Structural Components</t>
  </si>
  <si>
    <t>Wstruct/S</t>
  </si>
  <si>
    <t>Wwing/S</t>
  </si>
  <si>
    <t>Wht/S</t>
  </si>
  <si>
    <t>Wvt/S</t>
  </si>
  <si>
    <t>Wfl/S</t>
  </si>
  <si>
    <t>Engine</t>
  </si>
  <si>
    <t>Weng/S</t>
  </si>
  <si>
    <t>Landing Gear</t>
  </si>
  <si>
    <t>Wland/S</t>
  </si>
  <si>
    <t>Systems</t>
  </si>
  <si>
    <t>Wsys/s</t>
  </si>
  <si>
    <t>Payload</t>
  </si>
  <si>
    <t>Wpay/s</t>
  </si>
  <si>
    <t>Loop Closing</t>
  </si>
  <si>
    <t>S</t>
  </si>
  <si>
    <t>Weight</t>
  </si>
  <si>
    <t>denom.</t>
  </si>
  <si>
    <t>%Diff:</t>
  </si>
  <si>
    <t>WCL:</t>
  </si>
  <si>
    <t>Lap Length</t>
  </si>
  <si>
    <t>slug/cft</t>
  </si>
  <si>
    <t>sqft</t>
  </si>
  <si>
    <t>Cruise Speed</t>
  </si>
  <si>
    <t>ft/s</t>
  </si>
  <si>
    <t>n_cruise</t>
  </si>
  <si>
    <t>g</t>
  </si>
  <si>
    <t>Turn Speed</t>
  </si>
  <si>
    <t>80% of cruise</t>
  </si>
  <si>
    <t>Turn Time</t>
  </si>
  <si>
    <t>s</t>
  </si>
  <si>
    <t>Turn Radius</t>
  </si>
  <si>
    <t>Angular Velocity</t>
  </si>
  <si>
    <t>rad/s</t>
  </si>
  <si>
    <t>n_circle</t>
  </si>
  <si>
    <t>Prop Efficiency</t>
  </si>
  <si>
    <t>Landing Length</t>
  </si>
  <si>
    <t>Takeoff Length</t>
  </si>
  <si>
    <t>lb</t>
  </si>
  <si>
    <t>Motor Weight</t>
  </si>
  <si>
    <t>ESC Weight</t>
  </si>
  <si>
    <t>Payload Percentage</t>
  </si>
  <si>
    <t>Cbatt</t>
  </si>
  <si>
    <t>mu</t>
  </si>
  <si>
    <t>dh</t>
  </si>
  <si>
    <t>Xac</t>
  </si>
  <si>
    <t>Xacbar</t>
  </si>
  <si>
    <t>Cavg</t>
  </si>
  <si>
    <t>de/da</t>
  </si>
  <si>
    <t>Lh</t>
  </si>
  <si>
    <t>A</t>
  </si>
  <si>
    <t>at</t>
  </si>
  <si>
    <t>Wing</t>
  </si>
  <si>
    <t>Xn</t>
  </si>
  <si>
    <t>SM</t>
  </si>
  <si>
    <t>Xcg</t>
  </si>
  <si>
    <t>Xcgbar</t>
  </si>
  <si>
    <t>Tail</t>
  </si>
  <si>
    <t>etail</t>
  </si>
  <si>
    <t>atail</t>
  </si>
  <si>
    <t>in</t>
  </si>
  <si>
    <t>CLs/Cds</t>
  </si>
  <si>
    <t>actual weights</t>
  </si>
  <si>
    <t>10 ounce landing gear allowance</t>
  </si>
  <si>
    <t>ounces allowance for fuselage, tail</t>
  </si>
  <si>
    <t>26.2 ounces for the wings</t>
  </si>
  <si>
    <t>actual weight of battery 21.6 oz</t>
  </si>
  <si>
    <t>Vstall</t>
  </si>
  <si>
    <t>mph</t>
  </si>
  <si>
    <t>1/deg</t>
  </si>
  <si>
    <t>Density</t>
  </si>
  <si>
    <t>a negative number here means your plane is not physically possible</t>
  </si>
  <si>
    <t>&lt;-------</t>
  </si>
  <si>
    <t>&lt;--------</t>
  </si>
  <si>
    <t>wing cubic loading is useful in RC planes for determining the flight characteristics and needed skill of the pilot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</si>
</sst>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"/>
    <numFmt numFmtId="166" formatCode="0.000"/>
  </numFmts>
  <fonts count="10" x14ac:knownFonts="1">
    <font>
      <sz val="10"/>
      <name val="Arial"/>
    </font>
    <font>
      <sz val="10"/>
      <name val="Symbol"/>
      <family val="1"/>
      <charset val="2"/>
    </font>
    <font>
      <vertAlign val="subscript"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64" fontId="0" fillId="0" borderId="0" xfId="0" applyNumberFormat="1"/>
    <xf numFmtId="165" fontId="0" fillId="0" borderId="0" xfId="0" applyNumberFormat="1"/>
    <xf numFmtId="0" fontId="0" fillId="2" borderId="0" xfId="0" applyFill="1"/>
    <xf numFmtId="0" fontId="4" fillId="0" borderId="0" xfId="0" applyFont="1"/>
    <xf numFmtId="0" fontId="4" fillId="2" borderId="0" xfId="0" applyFont="1" applyFill="1"/>
    <xf numFmtId="0" fontId="0" fillId="3" borderId="0" xfId="0" applyFill="1"/>
    <xf numFmtId="166" fontId="0" fillId="4" borderId="0" xfId="0" applyNumberFormat="1" applyFill="1"/>
    <xf numFmtId="0" fontId="4" fillId="0" borderId="0" xfId="0" applyFont="1" applyAlignment="1">
      <alignment horizontal="center" vertical="center"/>
    </xf>
    <xf numFmtId="0" fontId="7" fillId="0" borderId="0" xfId="0" applyFont="1"/>
    <xf numFmtId="0" fontId="0" fillId="5" borderId="0" xfId="0" applyFill="1"/>
    <xf numFmtId="0" fontId="8" fillId="0" borderId="0" xfId="0" applyFont="1"/>
    <xf numFmtId="0" fontId="9" fillId="0" borderId="0" xfId="0" applyFont="1"/>
    <xf numFmtId="2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100"/>
              <a:t>Wing Geometry</a:t>
            </a:r>
            <a:r>
              <a:rPr lang="en-US"/>
              <a:t>
</a:t>
            </a:r>
          </a:p>
        </c:rich>
      </c:tx>
      <c:layout>
        <c:manualLayout>
          <c:xMode val="edge"/>
          <c:yMode val="edge"/>
          <c:x val="0.32980710744490271"/>
          <c:y val="4.19883074182514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6719774925013778E-2"/>
          <c:y val="0.18211129745965871"/>
          <c:w val="0.79365284405186642"/>
          <c:h val="0.66547239356813259"/>
        </c:manualLayout>
      </c:layout>
      <c:scatterChart>
        <c:scatterStyle val="lineMarker"/>
        <c:varyColors val="0"/>
        <c:ser>
          <c:idx val="0"/>
          <c:order val="0"/>
          <c:tx>
            <c:strRef>
              <c:f>Geometry!$N$13:$O$13</c:f>
              <c:strCache>
                <c:ptCount val="1"/>
                <c:pt idx="0">
                  <c:v>span axis chord axis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Geometry!$N$14:$N$20</c:f>
              <c:numCache>
                <c:formatCode>0.0</c:formatCode>
                <c:ptCount val="7"/>
                <c:pt idx="0">
                  <c:v>0</c:v>
                </c:pt>
                <c:pt idx="1">
                  <c:v>2.7386127875258306</c:v>
                </c:pt>
                <c:pt idx="2">
                  <c:v>2.7386127875258306</c:v>
                </c:pt>
                <c:pt idx="3">
                  <c:v>0</c:v>
                </c:pt>
                <c:pt idx="4">
                  <c:v>-2.7386127875258306</c:v>
                </c:pt>
                <c:pt idx="5">
                  <c:v>-2.7386127875258306</c:v>
                </c:pt>
                <c:pt idx="6">
                  <c:v>0</c:v>
                </c:pt>
              </c:numCache>
            </c:numRef>
          </c:xVal>
          <c:yVal>
            <c:numRef>
              <c:f>Geometry!$O$14:$O$20</c:f>
              <c:numCache>
                <c:formatCode>0.0</c:formatCode>
                <c:ptCount val="7"/>
                <c:pt idx="0">
                  <c:v>0</c:v>
                </c:pt>
                <c:pt idx="1">
                  <c:v>-0.73380908479909213</c:v>
                </c:pt>
                <c:pt idx="2">
                  <c:v>-1.4855851441199084</c:v>
                </c:pt>
                <c:pt idx="3">
                  <c:v>-1.0739657990297375</c:v>
                </c:pt>
                <c:pt idx="4">
                  <c:v>-1.4855851441199084</c:v>
                </c:pt>
                <c:pt idx="5">
                  <c:v>-0.73380908479909213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E00-4531-AEA8-0C576DE0C4D2}"/>
            </c:ext>
          </c:extLst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Geometry!$N$22:$N$23</c:f>
              <c:numCache>
                <c:formatCode>0.0</c:formatCode>
                <c:ptCount val="2"/>
                <c:pt idx="0">
                  <c:v>0</c:v>
                </c:pt>
                <c:pt idx="1">
                  <c:v>-2.7386127875258306</c:v>
                </c:pt>
              </c:numCache>
            </c:numRef>
          </c:xVal>
          <c:yVal>
            <c:numRef>
              <c:f>Geometry!$O$22:$O$23</c:f>
              <c:numCache>
                <c:formatCode>0.0</c:formatCode>
                <c:ptCount val="2"/>
                <c:pt idx="0">
                  <c:v>-0.42958631961189503</c:v>
                </c:pt>
                <c:pt idx="1">
                  <c:v>-1.0345195085274186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E00-4531-AEA8-0C576DE0C4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7307912"/>
        <c:axId val="287302816"/>
      </c:scatterChart>
      <c:valAx>
        <c:axId val="28730791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87302816"/>
        <c:crosses val="autoZero"/>
        <c:crossBetween val="midCat"/>
      </c:valAx>
      <c:valAx>
        <c:axId val="28730281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1"/>
        <c:majorTickMark val="out"/>
        <c:minorTickMark val="none"/>
        <c:tickLblPos val="high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8730791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Drag Polar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Drag Polar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'Aero Anlys'!$A$38:$A$58</c:f>
              <c:numCache>
                <c:formatCode>General</c:formatCode>
                <c:ptCount val="21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  <c:pt idx="11">
                  <c:v>1.1000000000000001</c:v>
                </c:pt>
                <c:pt idx="12">
                  <c:v>1.2</c:v>
                </c:pt>
                <c:pt idx="13">
                  <c:v>1.3</c:v>
                </c:pt>
                <c:pt idx="14">
                  <c:v>1.4</c:v>
                </c:pt>
                <c:pt idx="15">
                  <c:v>1.5</c:v>
                </c:pt>
                <c:pt idx="16">
                  <c:v>1.6</c:v>
                </c:pt>
                <c:pt idx="17">
                  <c:v>1.7</c:v>
                </c:pt>
                <c:pt idx="18">
                  <c:v>1.8</c:v>
                </c:pt>
                <c:pt idx="19">
                  <c:v>1.9</c:v>
                </c:pt>
                <c:pt idx="20">
                  <c:v>2</c:v>
                </c:pt>
              </c:numCache>
            </c:numRef>
          </c:xVal>
          <c:yVal>
            <c:numRef>
              <c:f>'Aero Anlys'!$B$38:$B$58</c:f>
              <c:numCache>
                <c:formatCode>General</c:formatCode>
                <c:ptCount val="21"/>
                <c:pt idx="0">
                  <c:v>2.0081699756995326E-2</c:v>
                </c:pt>
                <c:pt idx="1">
                  <c:v>1.8638955257386531E-2</c:v>
                </c:pt>
                <c:pt idx="2">
                  <c:v>1.8572304886536876E-2</c:v>
                </c:pt>
                <c:pt idx="3">
                  <c:v>1.9881748644446362E-2</c:v>
                </c:pt>
                <c:pt idx="4">
                  <c:v>2.2567286531114991E-2</c:v>
                </c:pt>
                <c:pt idx="5">
                  <c:v>2.6628918546542753E-2</c:v>
                </c:pt>
                <c:pt idx="6">
                  <c:v>3.2066644690729666E-2</c:v>
                </c:pt>
                <c:pt idx="7">
                  <c:v>3.8880464963675719E-2</c:v>
                </c:pt>
                <c:pt idx="8">
                  <c:v>4.7070379365380915E-2</c:v>
                </c:pt>
                <c:pt idx="9">
                  <c:v>5.6636387895845242E-2</c:v>
                </c:pt>
                <c:pt idx="10">
                  <c:v>6.7578490555068704E-2</c:v>
                </c:pt>
                <c:pt idx="11">
                  <c:v>7.9896687343051331E-2</c:v>
                </c:pt>
                <c:pt idx="12">
                  <c:v>9.3590978259793081E-2</c:v>
                </c:pt>
                <c:pt idx="13">
                  <c:v>0.108661363305294</c:v>
                </c:pt>
                <c:pt idx="14">
                  <c:v>0.125107842479554</c:v>
                </c:pt>
                <c:pt idx="15">
                  <c:v>0.14293041578257321</c:v>
                </c:pt>
                <c:pt idx="16">
                  <c:v>0.16212908321435157</c:v>
                </c:pt>
                <c:pt idx="17">
                  <c:v>0.18270384477488899</c:v>
                </c:pt>
                <c:pt idx="18">
                  <c:v>0.2046547004641856</c:v>
                </c:pt>
                <c:pt idx="19">
                  <c:v>0.22798165028224129</c:v>
                </c:pt>
                <c:pt idx="20">
                  <c:v>0.25268469422905621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9E4-46F0-A98B-3ECF13AF1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0972223"/>
        <c:axId val="700973055"/>
      </c:scatterChart>
      <c:valAx>
        <c:axId val="7009722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0973055"/>
        <c:crosses val="autoZero"/>
        <c:crossBetween val="midCat"/>
      </c:valAx>
      <c:valAx>
        <c:axId val="700973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09722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Constraint</a:t>
            </a:r>
            <a:r>
              <a:rPr lang="en-US" baseline="0"/>
              <a:t> Diagram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Cruise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'Constraint Analysis'!$B$3:$B$52</c:f>
              <c:numCache>
                <c:formatCode>General</c:formatCode>
                <c:ptCount val="5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1.1000000000000001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</c:v>
                </c:pt>
                <c:pt idx="20">
                  <c:v>2.1</c:v>
                </c:pt>
                <c:pt idx="21">
                  <c:v>2.2000000000000002</c:v>
                </c:pt>
                <c:pt idx="22">
                  <c:v>2.2999999999999998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</c:v>
                </c:pt>
                <c:pt idx="40">
                  <c:v>4.0999999999999996</c:v>
                </c:pt>
                <c:pt idx="41">
                  <c:v>4.2</c:v>
                </c:pt>
                <c:pt idx="42">
                  <c:v>4.3</c:v>
                </c:pt>
                <c:pt idx="43">
                  <c:v>4.4000000000000004</c:v>
                </c:pt>
                <c:pt idx="44">
                  <c:v>4.5</c:v>
                </c:pt>
                <c:pt idx="45">
                  <c:v>4.5999999999999996</c:v>
                </c:pt>
                <c:pt idx="46">
                  <c:v>4.7</c:v>
                </c:pt>
                <c:pt idx="47">
                  <c:v>4.8</c:v>
                </c:pt>
                <c:pt idx="48">
                  <c:v>4.9000000000000004</c:v>
                </c:pt>
                <c:pt idx="49">
                  <c:v>5</c:v>
                </c:pt>
              </c:numCache>
            </c:numRef>
          </c:xVal>
          <c:yVal>
            <c:numRef>
              <c:f>'Constraint Analysis'!$C$3:$C$52</c:f>
              <c:numCache>
                <c:formatCode>General</c:formatCode>
                <c:ptCount val="50"/>
                <c:pt idx="0">
                  <c:v>198.30967964089135</c:v>
                </c:pt>
                <c:pt idx="1">
                  <c:v>98.046933920615118</c:v>
                </c:pt>
                <c:pt idx="2">
                  <c:v>64.68920022913457</c:v>
                </c:pt>
                <c:pt idx="3">
                  <c:v>48.057719544852937</c:v>
                </c:pt>
                <c:pt idx="4">
                  <c:v>38.116740063450884</c:v>
                </c:pt>
                <c:pt idx="5">
                  <c:v>31.521011183488611</c:v>
                </c:pt>
                <c:pt idx="6">
                  <c:v>26.836854075777648</c:v>
                </c:pt>
                <c:pt idx="7">
                  <c:v>23.347429325723738</c:v>
                </c:pt>
                <c:pt idx="8">
                  <c:v>20.654492814107883</c:v>
                </c:pt>
                <c:pt idx="9">
                  <c:v>18.519098069398655</c:v>
                </c:pt>
                <c:pt idx="10">
                  <c:v>16.789188246076069</c:v>
                </c:pt>
                <c:pt idx="11">
                  <c:v>15.363392113793465</c:v>
                </c:pt>
                <c:pt idx="12">
                  <c:v>14.171529590003148</c:v>
                </c:pt>
                <c:pt idx="13">
                  <c:v>13.163472044313925</c:v>
                </c:pt>
                <c:pt idx="14">
                  <c:v>12.302458481105568</c:v>
                </c:pt>
                <c:pt idx="15">
                  <c:v>11.560918153662916</c:v>
                </c:pt>
                <c:pt idx="16">
                  <c:v>10.917767549792025</c:v>
                </c:pt>
                <c:pt idx="17">
                  <c:v>10.356608382230929</c:v>
                </c:pt>
                <c:pt idx="18">
                  <c:v>9.8644946347201969</c:v>
                </c:pt>
                <c:pt idx="19">
                  <c:v>9.4310694942522613</c:v>
                </c:pt>
                <c:pt idx="20">
                  <c:v>9.0479488741067318</c:v>
                </c:pt>
                <c:pt idx="21">
                  <c:v>8.7082730669669122</c:v>
                </c:pt>
                <c:pt idx="22">
                  <c:v>8.4063753580929319</c:v>
                </c:pt>
                <c:pt idx="23">
                  <c:v>8.1375334852015548</c:v>
                </c:pt>
                <c:pt idx="24">
                  <c:v>7.8977807479748714</c:v>
                </c:pt>
                <c:pt idx="25">
                  <c:v>7.6837607076823415</c:v>
                </c:pt>
                <c:pt idx="26">
                  <c:v>7.4926141757757243</c:v>
                </c:pt>
                <c:pt idx="27">
                  <c:v>7.3218904192136733</c:v>
                </c:pt>
                <c:pt idx="28">
                  <c:v>7.1694767370984742</c:v>
                </c:pt>
                <c:pt idx="29">
                  <c:v>7.0335421219854402</c:v>
                </c:pt>
                <c:pt idx="30">
                  <c:v>6.9124918254550067</c:v>
                </c:pt>
                <c:pt idx="31">
                  <c:v>6.8049304426400576</c:v>
                </c:pt>
                <c:pt idx="32">
                  <c:v>6.7096317086573665</c:v>
                </c:pt>
                <c:pt idx="33">
                  <c:v>6.6255136250805569</c:v>
                </c:pt>
                <c:pt idx="34">
                  <c:v>6.5516178504462665</c:v>
                </c:pt>
                <c:pt idx="35">
                  <c:v>6.487092525675954</c:v>
                </c:pt>
                <c:pt idx="36">
                  <c:v>6.4311778845644332</c:v>
                </c:pt>
                <c:pt idx="37">
                  <c:v>6.383194136296531</c:v>
                </c:pt>
                <c:pt idx="38">
                  <c:v>6.3425312121919726</c:v>
                </c:pt>
                <c:pt idx="39">
                  <c:v>6.308640050438509</c:v>
                </c:pt>
                <c:pt idx="40">
                  <c:v>6.2810251562299593</c:v>
                </c:pt>
                <c:pt idx="41">
                  <c:v>6.2592382247416873</c:v>
                </c:pt>
                <c:pt idx="42">
                  <c:v>6.2428726539234427</c:v>
                </c:pt>
                <c:pt idx="43">
                  <c:v>6.2315588055477216</c:v>
                </c:pt>
                <c:pt idx="44">
                  <c:v>6.2249598981183603</c:v>
                </c:pt>
                <c:pt idx="45">
                  <c:v>6.2227684354866755</c:v>
                </c:pt>
                <c:pt idx="46">
                  <c:v>6.2247030913889922</c:v>
                </c:pt>
                <c:pt idx="47">
                  <c:v>6.2305059834169318</c:v>
                </c:pt>
                <c:pt idx="48">
                  <c:v>6.2399402807872955</c:v>
                </c:pt>
                <c:pt idx="49">
                  <c:v>6.2527880991795355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E0C-4C13-82D2-A2B9E82FF8CE}"/>
            </c:ext>
          </c:extLst>
        </c:ser>
        <c:ser>
          <c:idx val="1"/>
          <c:order val="1"/>
          <c:tx>
            <c:v>Climb Rate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'Constraint Analysis'!$B$3:$B$52</c:f>
              <c:numCache>
                <c:formatCode>General</c:formatCode>
                <c:ptCount val="5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1.1000000000000001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</c:v>
                </c:pt>
                <c:pt idx="20">
                  <c:v>2.1</c:v>
                </c:pt>
                <c:pt idx="21">
                  <c:v>2.2000000000000002</c:v>
                </c:pt>
                <c:pt idx="22">
                  <c:v>2.2999999999999998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</c:v>
                </c:pt>
                <c:pt idx="40">
                  <c:v>4.0999999999999996</c:v>
                </c:pt>
                <c:pt idx="41">
                  <c:v>4.2</c:v>
                </c:pt>
                <c:pt idx="42">
                  <c:v>4.3</c:v>
                </c:pt>
                <c:pt idx="43">
                  <c:v>4.4000000000000004</c:v>
                </c:pt>
                <c:pt idx="44">
                  <c:v>4.5</c:v>
                </c:pt>
                <c:pt idx="45">
                  <c:v>4.5999999999999996</c:v>
                </c:pt>
                <c:pt idx="46">
                  <c:v>4.7</c:v>
                </c:pt>
                <c:pt idx="47">
                  <c:v>4.8</c:v>
                </c:pt>
                <c:pt idx="48">
                  <c:v>4.9000000000000004</c:v>
                </c:pt>
                <c:pt idx="49">
                  <c:v>5</c:v>
                </c:pt>
              </c:numCache>
            </c:numRef>
          </c:xVal>
          <c:yVal>
            <c:numRef>
              <c:f>'Constraint Analysis'!$D$3:$D$52</c:f>
              <c:numCache>
                <c:formatCode>General</c:formatCode>
                <c:ptCount val="50"/>
                <c:pt idx="0">
                  <c:v>20.836256736616011</c:v>
                </c:pt>
                <c:pt idx="1">
                  <c:v>21.182645618548229</c:v>
                </c:pt>
                <c:pt idx="2">
                  <c:v>21.448439155990677</c:v>
                </c:pt>
                <c:pt idx="3">
                  <c:v>21.672513473232023</c:v>
                </c:pt>
                <c:pt idx="4">
                  <c:v>21.869926909715545</c:v>
                </c:pt>
                <c:pt idx="5">
                  <c:v>22.048402298674254</c:v>
                </c:pt>
                <c:pt idx="6">
                  <c:v>22.212527357288412</c:v>
                </c:pt>
                <c:pt idx="7">
                  <c:v>22.365291237096461</c:v>
                </c:pt>
                <c:pt idx="8">
                  <c:v>22.508770209848038</c:v>
                </c:pt>
                <c:pt idx="9">
                  <c:v>22.644475996366129</c:v>
                </c:pt>
                <c:pt idx="10">
                  <c:v>22.773549823762373</c:v>
                </c:pt>
                <c:pt idx="11">
                  <c:v>22.896878311981357</c:v>
                </c:pt>
                <c:pt idx="12">
                  <c:v>23.015166543321218</c:v>
                </c:pt>
                <c:pt idx="13">
                  <c:v>23.128986195798774</c:v>
                </c:pt>
                <c:pt idx="14">
                  <c:v>23.238808414067581</c:v>
                </c:pt>
                <c:pt idx="15">
                  <c:v>23.345026946464053</c:v>
                </c:pt>
                <c:pt idx="16">
                  <c:v>23.447974855202151</c:v>
                </c:pt>
                <c:pt idx="17">
                  <c:v>23.547936855644693</c:v>
                </c:pt>
                <c:pt idx="18">
                  <c:v>23.645158605764312</c:v>
                </c:pt>
                <c:pt idx="19">
                  <c:v>23.739853819431083</c:v>
                </c:pt>
                <c:pt idx="20">
                  <c:v>23.832209795959631</c:v>
                </c:pt>
                <c:pt idx="21">
                  <c:v>23.922391776682261</c:v>
                </c:pt>
                <c:pt idx="22">
                  <c:v>24.010546419045699</c:v>
                </c:pt>
                <c:pt idx="23">
                  <c:v>24.096804597348516</c:v>
                </c:pt>
                <c:pt idx="24">
                  <c:v>24.181283683080068</c:v>
                </c:pt>
                <c:pt idx="25">
                  <c:v>24.264089418378475</c:v>
                </c:pt>
                <c:pt idx="26">
                  <c:v>24.345317467972038</c:v>
                </c:pt>
                <c:pt idx="27">
                  <c:v>24.425054714576824</c:v>
                </c:pt>
                <c:pt idx="28">
                  <c:v>24.503380347753705</c:v>
                </c:pt>
                <c:pt idx="29">
                  <c:v>24.58036678510247</c:v>
                </c:pt>
                <c:pt idx="30">
                  <c:v>24.656080456307169</c:v>
                </c:pt>
                <c:pt idx="31">
                  <c:v>24.730582474192921</c:v>
                </c:pt>
                <c:pt idx="32">
                  <c:v>24.803929212080138</c:v>
                </c:pt>
                <c:pt idx="33">
                  <c:v>24.87617280294829</c:v>
                </c:pt>
                <c:pt idx="34">
                  <c:v>24.947361572974856</c:v>
                </c:pt>
                <c:pt idx="35">
                  <c:v>25.017540419696079</c:v>
                </c:pt>
                <c:pt idx="36">
                  <c:v>25.08675114319735</c:v>
                </c:pt>
                <c:pt idx="37">
                  <c:v>25.15503273727289</c:v>
                </c:pt>
                <c:pt idx="38">
                  <c:v>25.222421646314178</c:v>
                </c:pt>
                <c:pt idx="39">
                  <c:v>25.288951992732258</c:v>
                </c:pt>
                <c:pt idx="40">
                  <c:v>25.35465577894249</c:v>
                </c:pt>
                <c:pt idx="41">
                  <c:v>25.419563067305138</c:v>
                </c:pt>
                <c:pt idx="42">
                  <c:v>25.483702140892916</c:v>
                </c:pt>
                <c:pt idx="43">
                  <c:v>25.54709964752475</c:v>
                </c:pt>
                <c:pt idx="44">
                  <c:v>25.609780729146628</c:v>
                </c:pt>
                <c:pt idx="45">
                  <c:v>25.671769138341279</c:v>
                </c:pt>
                <c:pt idx="46">
                  <c:v>25.733087343497932</c:v>
                </c:pt>
                <c:pt idx="47">
                  <c:v>25.793756623962715</c:v>
                </c:pt>
                <c:pt idx="48">
                  <c:v>25.853797156312091</c:v>
                </c:pt>
                <c:pt idx="49">
                  <c:v>25.913228092741157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E0C-4C13-82D2-A2B9E82FF8CE}"/>
            </c:ext>
          </c:extLst>
        </c:ser>
        <c:ser>
          <c:idx val="2"/>
          <c:order val="2"/>
          <c:tx>
            <c:v>Sustained Loading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'Constraint Analysis'!$B$3:$B$52</c:f>
              <c:numCache>
                <c:formatCode>General</c:formatCode>
                <c:ptCount val="5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1.1000000000000001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</c:v>
                </c:pt>
                <c:pt idx="20">
                  <c:v>2.1</c:v>
                </c:pt>
                <c:pt idx="21">
                  <c:v>2.2000000000000002</c:v>
                </c:pt>
                <c:pt idx="22">
                  <c:v>2.2999999999999998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</c:v>
                </c:pt>
                <c:pt idx="40">
                  <c:v>4.0999999999999996</c:v>
                </c:pt>
                <c:pt idx="41">
                  <c:v>4.2</c:v>
                </c:pt>
                <c:pt idx="42">
                  <c:v>4.3</c:v>
                </c:pt>
                <c:pt idx="43">
                  <c:v>4.4000000000000004</c:v>
                </c:pt>
                <c:pt idx="44">
                  <c:v>4.5</c:v>
                </c:pt>
                <c:pt idx="45">
                  <c:v>4.5999999999999996</c:v>
                </c:pt>
                <c:pt idx="46">
                  <c:v>4.7</c:v>
                </c:pt>
                <c:pt idx="47">
                  <c:v>4.8</c:v>
                </c:pt>
                <c:pt idx="48">
                  <c:v>4.9000000000000004</c:v>
                </c:pt>
                <c:pt idx="49">
                  <c:v>5</c:v>
                </c:pt>
              </c:numCache>
            </c:numRef>
          </c:xVal>
          <c:yVal>
            <c:numRef>
              <c:f>'Constraint Analysis'!$E$3:$E$52</c:f>
              <c:numCache>
                <c:formatCode>General</c:formatCode>
                <c:ptCount val="50"/>
                <c:pt idx="0">
                  <c:v>98.165176208580078</c:v>
                </c:pt>
                <c:pt idx="1">
                  <c:v>47.676347922690503</c:v>
                </c:pt>
                <c:pt idx="2">
                  <c:v>31.442885795544338</c:v>
                </c:pt>
                <c:pt idx="3">
                  <c:v>23.773265208084016</c:v>
                </c:pt>
                <c:pt idx="4">
                  <c:v>19.529181236498037</c:v>
                </c:pt>
                <c:pt idx="5">
                  <c:v>16.997865572849225</c:v>
                </c:pt>
                <c:pt idx="6">
                  <c:v>15.445274656593087</c:v>
                </c:pt>
                <c:pt idx="7">
                  <c:v>14.504386707457362</c:v>
                </c:pt>
                <c:pt idx="8">
                  <c:v>13.97130073640192</c:v>
                </c:pt>
                <c:pt idx="9">
                  <c:v>13.723676150002669</c:v>
                </c:pt>
                <c:pt idx="10">
                  <c:v>13.68365984335338</c:v>
                </c:pt>
                <c:pt idx="11">
                  <c:v>13.79934974651656</c:v>
                </c:pt>
                <c:pt idx="12">
                  <c:v>14.034813657227794</c:v>
                </c:pt>
                <c:pt idx="13">
                  <c:v>14.364385716726785</c:v>
                </c:pt>
                <c:pt idx="14">
                  <c:v>14.76924429525598</c:v>
                </c:pt>
                <c:pt idx="15">
                  <c:v>15.235273170497221</c:v>
                </c:pt>
                <c:pt idx="16">
                  <c:v>15.751677584207195</c:v>
                </c:pt>
                <c:pt idx="17">
                  <c:v>16.310061613307795</c:v>
                </c:pt>
                <c:pt idx="18">
                  <c:v>16.903796897474169</c:v>
                </c:pt>
                <c:pt idx="19">
                  <c:v>17.527580748446464</c:v>
                </c:pt>
                <c:pt idx="20">
                  <c:v>18.177120513823827</c:v>
                </c:pt>
                <c:pt idx="21">
                  <c:v>18.848904023460118</c:v>
                </c:pt>
                <c:pt idx="22">
                  <c:v>19.540029919408511</c:v>
                </c:pt>
                <c:pt idx="23">
                  <c:v>20.248080403380001</c:v>
                </c:pt>
                <c:pt idx="24">
                  <c:v>20.971024524811813</c:v>
                </c:pt>
                <c:pt idx="25">
                  <c:v>21.707143787073914</c:v>
                </c:pt>
                <c:pt idx="26">
                  <c:v>22.454974285629604</c:v>
                </c:pt>
                <c:pt idx="27">
                  <c:v>23.213261245161704</c:v>
                </c:pt>
                <c:pt idx="28">
                  <c:v>23.980922962810595</c:v>
                </c:pt>
                <c:pt idx="29">
                  <c:v>24.757021962764597</c:v>
                </c:pt>
                <c:pt idx="30">
                  <c:v>25.540741733832892</c:v>
                </c:pt>
                <c:pt idx="31">
                  <c:v>26.331367828723515</c:v>
                </c:pt>
                <c:pt idx="32">
                  <c:v>27.12827239981625</c:v>
                </c:pt>
                <c:pt idx="33">
                  <c:v>27.930901463916797</c:v>
                </c:pt>
                <c:pt idx="34">
                  <c:v>28.738764350195918</c:v>
                </c:pt>
                <c:pt idx="35">
                  <c:v>29.551424906805394</c:v>
                </c:pt>
                <c:pt idx="36">
                  <c:v>30.36849413344817</c:v>
                </c:pt>
                <c:pt idx="37">
                  <c:v>31.189623977226873</c:v>
                </c:pt>
                <c:pt idx="38">
                  <c:v>32.014502082977224</c:v>
                </c:pt>
                <c:pt idx="39">
                  <c:v>32.842847331051317</c:v>
                </c:pt>
                <c:pt idx="40">
                  <c:v>33.674406028108415</c:v>
                </c:pt>
                <c:pt idx="41">
                  <c:v>34.508948642078295</c:v>
                </c:pt>
                <c:pt idx="42">
                  <c:v>35.346266992711229</c:v>
                </c:pt>
                <c:pt idx="43">
                  <c:v>36.186171825234744</c:v>
                </c:pt>
                <c:pt idx="44">
                  <c:v>37.028490707522785</c:v>
                </c:pt>
                <c:pt idx="45">
                  <c:v>37.873066201547225</c:v>
                </c:pt>
                <c:pt idx="46">
                  <c:v>38.719754268261092</c:v>
                </c:pt>
                <c:pt idx="47">
                  <c:v>39.56842287187127</c:v>
                </c:pt>
                <c:pt idx="48">
                  <c:v>40.418950755016773</c:v>
                </c:pt>
                <c:pt idx="49">
                  <c:v>41.271226360925475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E0C-4C13-82D2-A2B9E82FF8CE}"/>
            </c:ext>
          </c:extLst>
        </c:ser>
        <c:ser>
          <c:idx val="3"/>
          <c:order val="3"/>
          <c:tx>
            <c:v>Landing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'Constraint Analysis'!$F$3:$F$53</c:f>
              <c:numCache>
                <c:formatCode>General</c:formatCode>
                <c:ptCount val="51"/>
                <c:pt idx="0">
                  <c:v>6.2674767117236909</c:v>
                </c:pt>
                <c:pt idx="1">
                  <c:v>6.2674767117236909</c:v>
                </c:pt>
                <c:pt idx="2">
                  <c:v>6.2674767117236909</c:v>
                </c:pt>
                <c:pt idx="3">
                  <c:v>6.2674767117236909</c:v>
                </c:pt>
                <c:pt idx="4">
                  <c:v>6.2674767117236909</c:v>
                </c:pt>
                <c:pt idx="5">
                  <c:v>6.2674767117236909</c:v>
                </c:pt>
                <c:pt idx="6">
                  <c:v>6.2674767117236909</c:v>
                </c:pt>
                <c:pt idx="7">
                  <c:v>6.2674767117236909</c:v>
                </c:pt>
                <c:pt idx="8">
                  <c:v>6.2674767117236909</c:v>
                </c:pt>
                <c:pt idx="9">
                  <c:v>6.2674767117236909</c:v>
                </c:pt>
                <c:pt idx="10">
                  <c:v>6.2674767117236909</c:v>
                </c:pt>
                <c:pt idx="11">
                  <c:v>6.2674767117236909</c:v>
                </c:pt>
                <c:pt idx="12">
                  <c:v>6.2674767117236909</c:v>
                </c:pt>
                <c:pt idx="13">
                  <c:v>6.2674767117236909</c:v>
                </c:pt>
                <c:pt idx="14">
                  <c:v>6.2674767117236909</c:v>
                </c:pt>
                <c:pt idx="15">
                  <c:v>6.2674767117236909</c:v>
                </c:pt>
                <c:pt idx="16">
                  <c:v>6.2674767117236909</c:v>
                </c:pt>
                <c:pt idx="17">
                  <c:v>6.2674767117236909</c:v>
                </c:pt>
                <c:pt idx="18">
                  <c:v>6.2674767117236909</c:v>
                </c:pt>
                <c:pt idx="19">
                  <c:v>6.2674767117236909</c:v>
                </c:pt>
                <c:pt idx="20">
                  <c:v>6.2674767117236909</c:v>
                </c:pt>
                <c:pt idx="21">
                  <c:v>6.2674767117236909</c:v>
                </c:pt>
                <c:pt idx="22">
                  <c:v>6.2674767117236909</c:v>
                </c:pt>
                <c:pt idx="23">
                  <c:v>6.2674767117236909</c:v>
                </c:pt>
                <c:pt idx="24">
                  <c:v>6.2674767117236909</c:v>
                </c:pt>
                <c:pt idx="25">
                  <c:v>6.2674767117236909</c:v>
                </c:pt>
                <c:pt idx="26">
                  <c:v>6.2674767117236909</c:v>
                </c:pt>
                <c:pt idx="27">
                  <c:v>6.2674767117236909</c:v>
                </c:pt>
                <c:pt idx="28">
                  <c:v>6.2674767117236909</c:v>
                </c:pt>
                <c:pt idx="29">
                  <c:v>6.2674767117236909</c:v>
                </c:pt>
                <c:pt idx="30">
                  <c:v>6.2674767117236909</c:v>
                </c:pt>
                <c:pt idx="31">
                  <c:v>6.2674767117236909</c:v>
                </c:pt>
                <c:pt idx="32">
                  <c:v>6.2674767117236909</c:v>
                </c:pt>
                <c:pt idx="33">
                  <c:v>6.2674767117236909</c:v>
                </c:pt>
                <c:pt idx="34">
                  <c:v>6.2674767117236909</c:v>
                </c:pt>
                <c:pt idx="35">
                  <c:v>6.2674767117236909</c:v>
                </c:pt>
                <c:pt idx="36">
                  <c:v>6.2674767117236909</c:v>
                </c:pt>
                <c:pt idx="37">
                  <c:v>6.2674767117236909</c:v>
                </c:pt>
                <c:pt idx="38">
                  <c:v>6.2674767117236909</c:v>
                </c:pt>
                <c:pt idx="39">
                  <c:v>6.2674767117236909</c:v>
                </c:pt>
                <c:pt idx="40">
                  <c:v>6.2674767117236909</c:v>
                </c:pt>
                <c:pt idx="41">
                  <c:v>6.2674767117236909</c:v>
                </c:pt>
                <c:pt idx="42">
                  <c:v>6.2674767117236909</c:v>
                </c:pt>
                <c:pt idx="43">
                  <c:v>6.2674767117236909</c:v>
                </c:pt>
                <c:pt idx="44">
                  <c:v>6.2674767117236909</c:v>
                </c:pt>
                <c:pt idx="45">
                  <c:v>6.2674767117236909</c:v>
                </c:pt>
                <c:pt idx="46">
                  <c:v>6.2674767117236909</c:v>
                </c:pt>
                <c:pt idx="47">
                  <c:v>6.2674767117236909</c:v>
                </c:pt>
                <c:pt idx="48">
                  <c:v>6.2674767117236909</c:v>
                </c:pt>
                <c:pt idx="49">
                  <c:v>6.2674767117236909</c:v>
                </c:pt>
                <c:pt idx="50">
                  <c:v>6.2674767117236909</c:v>
                </c:pt>
              </c:numCache>
            </c:numRef>
          </c:xVal>
          <c:yVal>
            <c:numRef>
              <c:f>'Constraint Analysis'!$B$3:$B$53</c:f>
              <c:numCache>
                <c:formatCode>General</c:formatCode>
                <c:ptCount val="51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1.1000000000000001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</c:v>
                </c:pt>
                <c:pt idx="20">
                  <c:v>2.1</c:v>
                </c:pt>
                <c:pt idx="21">
                  <c:v>2.2000000000000002</c:v>
                </c:pt>
                <c:pt idx="22">
                  <c:v>2.2999999999999998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</c:v>
                </c:pt>
                <c:pt idx="40">
                  <c:v>4.0999999999999996</c:v>
                </c:pt>
                <c:pt idx="41">
                  <c:v>4.2</c:v>
                </c:pt>
                <c:pt idx="42">
                  <c:v>4.3</c:v>
                </c:pt>
                <c:pt idx="43">
                  <c:v>4.4000000000000004</c:v>
                </c:pt>
                <c:pt idx="44">
                  <c:v>4.5</c:v>
                </c:pt>
                <c:pt idx="45">
                  <c:v>4.5999999999999996</c:v>
                </c:pt>
                <c:pt idx="46">
                  <c:v>4.7</c:v>
                </c:pt>
                <c:pt idx="47">
                  <c:v>4.8</c:v>
                </c:pt>
                <c:pt idx="48">
                  <c:v>4.9000000000000004</c:v>
                </c:pt>
                <c:pt idx="49">
                  <c:v>5</c:v>
                </c:pt>
                <c:pt idx="50">
                  <c:v>150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E0C-4C13-82D2-A2B9E82FF8CE}"/>
            </c:ext>
          </c:extLst>
        </c:ser>
        <c:ser>
          <c:idx val="4"/>
          <c:order val="4"/>
          <c:tx>
            <c:v>Take Off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'Constraint Analysis'!$B$3:$B$52</c:f>
              <c:numCache>
                <c:formatCode>General</c:formatCode>
                <c:ptCount val="5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1.1000000000000001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</c:v>
                </c:pt>
                <c:pt idx="20">
                  <c:v>2.1</c:v>
                </c:pt>
                <c:pt idx="21">
                  <c:v>2.2000000000000002</c:v>
                </c:pt>
                <c:pt idx="22">
                  <c:v>2.2999999999999998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  <c:pt idx="34">
                  <c:v>3.5</c:v>
                </c:pt>
                <c:pt idx="35">
                  <c:v>3.6</c:v>
                </c:pt>
                <c:pt idx="36">
                  <c:v>3.7</c:v>
                </c:pt>
                <c:pt idx="37">
                  <c:v>3.8</c:v>
                </c:pt>
                <c:pt idx="38">
                  <c:v>3.9</c:v>
                </c:pt>
                <c:pt idx="39">
                  <c:v>4</c:v>
                </c:pt>
                <c:pt idx="40">
                  <c:v>4.0999999999999996</c:v>
                </c:pt>
                <c:pt idx="41">
                  <c:v>4.2</c:v>
                </c:pt>
                <c:pt idx="42">
                  <c:v>4.3</c:v>
                </c:pt>
                <c:pt idx="43">
                  <c:v>4.4000000000000004</c:v>
                </c:pt>
                <c:pt idx="44">
                  <c:v>4.5</c:v>
                </c:pt>
                <c:pt idx="45">
                  <c:v>4.5999999999999996</c:v>
                </c:pt>
                <c:pt idx="46">
                  <c:v>4.7</c:v>
                </c:pt>
                <c:pt idx="47">
                  <c:v>4.8</c:v>
                </c:pt>
                <c:pt idx="48">
                  <c:v>4.9000000000000004</c:v>
                </c:pt>
                <c:pt idx="49">
                  <c:v>5</c:v>
                </c:pt>
              </c:numCache>
            </c:numRef>
          </c:xVal>
          <c:yVal>
            <c:numRef>
              <c:f>'Constraint Analysis'!$G$3:$G$52</c:f>
              <c:numCache>
                <c:formatCode>General</c:formatCode>
                <c:ptCount val="50"/>
                <c:pt idx="0">
                  <c:v>0.67739395592539298</c:v>
                </c:pt>
                <c:pt idx="1">
                  <c:v>1.3403960883797967</c:v>
                </c:pt>
                <c:pt idx="2">
                  <c:v>2.110005721350154</c:v>
                </c:pt>
                <c:pt idx="3">
                  <c:v>2.977243157714093</c:v>
                </c:pt>
                <c:pt idx="4">
                  <c:v>3.933312413131</c:v>
                </c:pt>
                <c:pt idx="5">
                  <c:v>4.9710924492516764</c:v>
                </c:pt>
                <c:pt idx="6">
                  <c:v>6.0848290408833021</c:v>
                </c:pt>
                <c:pt idx="7">
                  <c:v>7.2697886028461189</c:v>
                </c:pt>
                <c:pt idx="8">
                  <c:v>8.5220028512294039</c:v>
                </c:pt>
                <c:pt idx="9">
                  <c:v>9.8380887418807461</c:v>
                </c:pt>
                <c:pt idx="10">
                  <c:v>11.215120403179755</c:v>
                </c:pt>
                <c:pt idx="11">
                  <c:v>12.650536199226016</c:v>
                </c:pt>
                <c:pt idx="12">
                  <c:v>14.142069803989768</c:v>
                </c:pt>
                <c:pt idx="13">
                  <c:v>15.68769801896584</c:v>
                </c:pt>
                <c:pt idx="14">
                  <c:v>17.285600520243314</c:v>
                </c:pt>
                <c:pt idx="15">
                  <c:v>18.934128282334644</c:v>
                </c:pt>
                <c:pt idx="16">
                  <c:v>20.63177843452041</c:v>
                </c:pt>
                <c:pt idx="17">
                  <c:v>22.377173969485497</c:v>
                </c:pt>
                <c:pt idx="18">
                  <c:v>24.16904717025081</c:v>
                </c:pt>
                <c:pt idx="19">
                  <c:v>26.00622592726944</c:v>
                </c:pt>
                <c:pt idx="20">
                  <c:v>27.887622331156329</c:v>
                </c:pt>
                <c:pt idx="21">
                  <c:v>29.812223078300676</c:v>
                </c:pt>
                <c:pt idx="22">
                  <c:v>31.779081336204733</c:v>
                </c:pt>
                <c:pt idx="23">
                  <c:v>33.787309795704928</c:v>
                </c:pt>
                <c:pt idx="24">
                  <c:v>35.836074696893093</c:v>
                </c:pt>
                <c:pt idx="25">
                  <c:v>37.924590660436643</c:v>
                </c:pt>
                <c:pt idx="26">
                  <c:v>40.052116190153285</c:v>
                </c:pt>
                <c:pt idx="27">
                  <c:v>42.217949738971861</c:v>
                </c:pt>
                <c:pt idx="28">
                  <c:v>44.421426250826293</c:v>
                </c:pt>
                <c:pt idx="29">
                  <c:v>46.661914107039607</c:v>
                </c:pt>
                <c:pt idx="30">
                  <c:v>48.938812418419552</c:v>
                </c:pt>
                <c:pt idx="31">
                  <c:v>51.25154861438444</c:v>
                </c:pt>
                <c:pt idx="32">
                  <c:v>53.599576288551759</c:v>
                </c:pt>
                <c:pt idx="33">
                  <c:v>55.982373266785828</c:v>
                </c:pt>
                <c:pt idx="34">
                  <c:v>58.399439869047093</c:v>
                </c:pt>
                <c:pt idx="35">
                  <c:v>60.850297340768087</c:v>
                </c:pt>
                <c:pt idx="36">
                  <c:v>63.334486433092103</c:v>
                </c:pt>
                <c:pt idx="37">
                  <c:v>65.851566114306195</c:v>
                </c:pt>
                <c:pt idx="38">
                  <c:v>68.401112397294341</c:v>
                </c:pt>
                <c:pt idx="39">
                  <c:v>70.982717269926795</c:v>
                </c:pt>
                <c:pt idx="40">
                  <c:v>73.595987717059131</c:v>
                </c:pt>
                <c:pt idx="41">
                  <c:v>76.240544824300883</c:v>
                </c:pt>
                <c:pt idx="42">
                  <c:v>78.91602295497394</c:v>
                </c:pt>
                <c:pt idx="43">
                  <c:v>81.622068992755999</c:v>
                </c:pt>
                <c:pt idx="44">
                  <c:v>84.358341643422747</c:v>
                </c:pt>
                <c:pt idx="45">
                  <c:v>87.124510789892483</c:v>
                </c:pt>
                <c:pt idx="46">
                  <c:v>89.920256895455267</c:v>
                </c:pt>
                <c:pt idx="47">
                  <c:v>92.745270450657657</c:v>
                </c:pt>
                <c:pt idx="48">
                  <c:v>95.599251459822923</c:v>
                </c:pt>
                <c:pt idx="49">
                  <c:v>98.481908963629479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EED-425A-B81E-A3068BB51BBA}"/>
            </c:ext>
          </c:extLst>
        </c:ser>
        <c:ser>
          <c:idx val="5"/>
          <c:order val="5"/>
          <c:tx>
            <c:v>Design Point (2, 104)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'Constraint Analysis'!$J$24</c:f>
              <c:numCache>
                <c:formatCode>General</c:formatCode>
                <c:ptCount val="1"/>
                <c:pt idx="0">
                  <c:v>2</c:v>
                </c:pt>
              </c:numCache>
            </c:numRef>
          </c:xVal>
          <c:yVal>
            <c:numRef>
              <c:f>'Constraint Analysis'!$J$25</c:f>
              <c:numCache>
                <c:formatCode>General</c:formatCode>
                <c:ptCount val="1"/>
                <c:pt idx="0">
                  <c:v>104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12E-43FB-BCB9-BCFD2D670E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0362063"/>
        <c:axId val="1910363727"/>
      </c:scatterChart>
      <c:valAx>
        <c:axId val="19103620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Wingloading (lbf/sqft.)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0363727"/>
        <c:crosses val="autoZero"/>
        <c:crossBetween val="midCat"/>
      </c:valAx>
      <c:valAx>
        <c:axId val="191036372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Powerloading  (lbf/lbf)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036206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57150</xdr:rowOff>
    </xdr:from>
    <xdr:to>
      <xdr:col>5</xdr:col>
      <xdr:colOff>371475</xdr:colOff>
      <xdr:row>25</xdr:row>
      <xdr:rowOff>66675</xdr:rowOff>
    </xdr:to>
    <xdr:graphicFrame macro="">
      <xdr:nvGraphicFramePr>
        <xdr:cNvPr id="4097" name="Chart 1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0</xdr:col>
      <xdr:colOff>240855</xdr:colOff>
      <xdr:row>42</xdr:row>
      <xdr:rowOff>127031</xdr:rowOff>
    </xdr:from>
    <xdr:ext cx="815159" cy="31810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240855" y="7756556"/>
              <a:ext cx="815159" cy="318100"/>
            </a:xfrm>
            <a:prstGeom prst="rect">
              <a:avLst/>
            </a:prstGeom>
            <a:solidFill>
              <a:schemeClr val="bg1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sSub>
                          <m:sSubPr>
                            <m:ctrlP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𝑉</m:t>
                            </m:r>
                          </m:e>
                          <m:sub>
                            <m: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𝐻𝑇</m:t>
                            </m:r>
                          </m:sub>
                        </m:sSub>
                        <m:r>
                          <a:rPr lang="en-US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=</m:t>
                        </m:r>
                        <m:f>
                          <m:fPr>
                            <m:ctrlP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sSub>
                              <m:sSubPr>
                                <m:ctrlP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𝐿</m:t>
                                </m:r>
                              </m:e>
                              <m:sub>
                                <m: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𝑇</m:t>
                                </m:r>
                              </m:sub>
                            </m:sSub>
                            <m:sSub>
                              <m:sSubPr>
                                <m:ctrlP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𝑆</m:t>
                                </m:r>
                              </m:e>
                              <m:sub>
                                <m: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𝐻𝑇</m:t>
                                </m:r>
                              </m:sub>
                            </m:sSub>
                          </m:num>
                          <m:den>
                            <m:acc>
                              <m:accPr>
                                <m:chr m:val="̅"/>
                                <m:ctrlP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accPr>
                              <m:e>
                                <m: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𝑐</m:t>
                                </m:r>
                              </m:e>
                            </m:acc>
                            <m: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</m:t>
                            </m:r>
                          </m:den>
                        </m:f>
                      </m:e>
                      <m:sup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 </m:t>
                        </m:r>
                      </m:sup>
                    </m:sSup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240855" y="7756556"/>
              <a:ext cx="815159" cy="318100"/>
            </a:xfrm>
            <a:prstGeom prst="rect">
              <a:avLst/>
            </a:prstGeom>
            <a:solidFill>
              <a:schemeClr val="bg1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sz="1100" i="0">
                  <a:latin typeface="Cambria Math" panose="02040503050406030204" pitchFamily="18" charset="0"/>
                </a:rPr>
                <a:t>〖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𝑉_𝐻𝑇=(𝐿_𝑇 𝑆_𝐻𝑇)/(𝑐 ̅𝑆)〗^</a:t>
              </a:r>
              <a:r>
                <a:rPr lang="en-US" sz="1100" b="0" i="0">
                  <a:latin typeface="Cambria Math" panose="02040503050406030204" pitchFamily="18" charset="0"/>
                </a:rPr>
                <a:t>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2</xdr:col>
      <xdr:colOff>104775</xdr:colOff>
      <xdr:row>42</xdr:row>
      <xdr:rowOff>133350</xdr:rowOff>
    </xdr:from>
    <xdr:ext cx="805029" cy="31810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 txBox="1"/>
          </xdr:nvSpPr>
          <xdr:spPr>
            <a:xfrm>
              <a:off x="1571625" y="7762875"/>
              <a:ext cx="805029" cy="318100"/>
            </a:xfrm>
            <a:prstGeom prst="rect">
              <a:avLst/>
            </a:prstGeom>
            <a:solidFill>
              <a:schemeClr val="bg1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sSub>
                          <m:sSubPr>
                            <m:ctrlP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𝑉</m:t>
                            </m:r>
                          </m:e>
                          <m:sub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𝑉</m:t>
                            </m:r>
                            <m: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𝑇</m:t>
                            </m:r>
                          </m:sub>
                        </m:sSub>
                        <m:r>
                          <a:rPr lang="en-US" sz="110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=</m:t>
                        </m:r>
                        <m:f>
                          <m:fPr>
                            <m:ctrlP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sSub>
                              <m:sSubPr>
                                <m:ctrlP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𝐿</m:t>
                                </m:r>
                              </m:e>
                              <m:sub>
                                <m: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𝑇</m:t>
                                </m:r>
                              </m:sub>
                            </m:sSub>
                            <m:sSub>
                              <m:sSubPr>
                                <m:ctrlP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𝑆</m:t>
                                </m:r>
                              </m:e>
                              <m:sub>
                                <m:r>
                                  <a:rPr lang="en-US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𝑉</m:t>
                                </m:r>
                                <m:r>
                                  <a:rPr lang="en-US" sz="110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𝑇</m:t>
                                </m:r>
                              </m:sub>
                            </m:sSub>
                          </m:num>
                          <m:den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𝑏</m:t>
                            </m:r>
                            <m:r>
                              <a:rPr lang="en-US" sz="11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𝑆</m:t>
                            </m:r>
                          </m:den>
                        </m:f>
                      </m:e>
                      <m:sup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 </m:t>
                        </m:r>
                      </m:sup>
                    </m:sSup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 txBox="1"/>
          </xdr:nvSpPr>
          <xdr:spPr>
            <a:xfrm>
              <a:off x="1571625" y="7762875"/>
              <a:ext cx="805029" cy="318100"/>
            </a:xfrm>
            <a:prstGeom prst="rect">
              <a:avLst/>
            </a:prstGeom>
            <a:solidFill>
              <a:schemeClr val="bg1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n-US" sz="1100" i="0">
                  <a:latin typeface="Cambria Math" panose="02040503050406030204" pitchFamily="18" charset="0"/>
                </a:rPr>
                <a:t>〖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𝑉_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𝑉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𝑇=(𝐿_𝑇 𝑆_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𝑉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𝑇)/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𝑏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𝑆〗^</a:t>
              </a:r>
              <a:r>
                <a:rPr lang="en-US" sz="1100" b="0" i="0">
                  <a:latin typeface="Cambria Math" panose="02040503050406030204" pitchFamily="18" charset="0"/>
                </a:rPr>
                <a:t> 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0</xdr:col>
      <xdr:colOff>428625</xdr:colOff>
      <xdr:row>46</xdr:row>
      <xdr:rowOff>9525</xdr:rowOff>
    </xdr:from>
    <xdr:ext cx="693523" cy="30636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83106BD2-8F7C-460A-A46F-3D6E9DD62348}"/>
                </a:ext>
              </a:extLst>
            </xdr:cNvPr>
            <xdr:cNvSpPr txBox="1"/>
          </xdr:nvSpPr>
          <xdr:spPr>
            <a:xfrm>
              <a:off x="428625" y="7800975"/>
              <a:ext cx="693523" cy="306366"/>
            </a:xfrm>
            <a:prstGeom prst="rect">
              <a:avLst/>
            </a:prstGeom>
            <a:solidFill>
              <a:schemeClr val="bg1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acc>
                      <m:accPr>
                        <m:chr m:val="̅"/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acc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𝑐</m:t>
                        </m:r>
                      </m:e>
                    </m:acc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𝑐</m:t>
                            </m:r>
                          </m:e>
                          <m:sub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𝑟</m:t>
                            </m:r>
                          </m:sub>
                        </m:sSub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+</m:t>
                        </m:r>
                        <m:sSub>
                          <m:sSubPr>
                            <m:ctrlP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𝑐</m:t>
                            </m:r>
                          </m:e>
                          <m:sub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𝑡</m:t>
                            </m:r>
                          </m:sub>
                        </m:sSub>
                      </m:num>
                      <m:den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2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83106BD2-8F7C-460A-A46F-3D6E9DD62348}"/>
                </a:ext>
              </a:extLst>
            </xdr:cNvPr>
            <xdr:cNvSpPr txBox="1"/>
          </xdr:nvSpPr>
          <xdr:spPr>
            <a:xfrm>
              <a:off x="428625" y="7800975"/>
              <a:ext cx="693523" cy="306366"/>
            </a:xfrm>
            <a:prstGeom prst="rect">
              <a:avLst/>
            </a:prstGeom>
            <a:solidFill>
              <a:schemeClr val="bg1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sz="1100" b="0" i="0">
                  <a:latin typeface="Cambria Math" panose="02040503050406030204" pitchFamily="18" charset="0"/>
                </a:rPr>
                <a:t>𝑐 ̅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=(𝑐_𝑟+𝑐_𝑡)/2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320040</xdr:colOff>
      <xdr:row>38</xdr:row>
      <xdr:rowOff>87630</xdr:rowOff>
    </xdr:from>
    <xdr:to>
      <xdr:col>11</xdr:col>
      <xdr:colOff>15240</xdr:colOff>
      <xdr:row>54</xdr:row>
      <xdr:rowOff>148590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0C3AA4-6B0C-B596-9222-2DFA2CBE43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3</xdr:row>
      <xdr:rowOff>41910</xdr:rowOff>
    </xdr:from>
    <xdr:to>
      <xdr:col>15</xdr:col>
      <xdr:colOff>419100</xdr:colOff>
      <xdr:row>19</xdr:row>
      <xdr:rowOff>102870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4176E91-0CFE-8EF6-C3E4-B421C3E5FE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4"/>
  <sheetViews>
    <sheetView tabSelected="1" zoomScaleNormal="99" workbookViewId="0">
      <selection activeCell="H18" sqref="H18"/>
    </sheetView>
  </sheetViews>
  <sheetFormatPr defaultRowHeight="13.2" x14ac:dyDescent="0.25"/>
  <cols>
    <col min="1" max="1" width="13" customWidth="1"/>
    <col min="3" max="3" width="10" customWidth="1"/>
    <col min="5" max="5" width="8.44140625" bestFit="1" customWidth="1"/>
    <col min="6" max="6" width="5.88671875" customWidth="1"/>
    <col min="7" max="7" width="5.44140625" customWidth="1"/>
    <col min="8" max="8" width="5.5546875" customWidth="1"/>
    <col min="9" max="9" width="5.88671875" customWidth="1"/>
    <col min="10" max="10" width="6.44140625" customWidth="1"/>
    <col min="11" max="11" width="6.109375" customWidth="1"/>
    <col min="13" max="13" width="6.5546875" customWidth="1"/>
  </cols>
  <sheetData>
    <row r="1" spans="1:15" x14ac:dyDescent="0.25">
      <c r="A1" s="6" t="s">
        <v>0</v>
      </c>
      <c r="B1" s="7"/>
      <c r="E1" t="s">
        <v>1</v>
      </c>
    </row>
    <row r="2" spans="1:15" x14ac:dyDescent="0.25">
      <c r="A2" t="s">
        <v>2</v>
      </c>
      <c r="B2" s="4">
        <v>5</v>
      </c>
      <c r="C2" t="s">
        <v>3</v>
      </c>
      <c r="E2" t="s">
        <v>4</v>
      </c>
      <c r="F2" s="15">
        <f>SQRT(S*ar)</f>
        <v>5.4772255750516612</v>
      </c>
      <c r="G2" t="s">
        <v>5</v>
      </c>
    </row>
    <row r="3" spans="1:15" x14ac:dyDescent="0.25">
      <c r="A3" t="s">
        <v>6</v>
      </c>
      <c r="B3" s="4">
        <v>6</v>
      </c>
      <c r="E3" t="s">
        <v>7</v>
      </c>
      <c r="F3" s="15">
        <f>2*S/b/(1+taper)</f>
        <v>1.0739657990297375</v>
      </c>
      <c r="G3" t="s">
        <v>5</v>
      </c>
      <c r="M3" s="5"/>
      <c r="N3" s="5"/>
    </row>
    <row r="4" spans="1:15" x14ac:dyDescent="0.25">
      <c r="A4" s="1" t="s">
        <v>8</v>
      </c>
      <c r="B4" s="4">
        <v>0.7</v>
      </c>
      <c r="E4" t="s">
        <v>9</v>
      </c>
      <c r="F4" s="3">
        <f>cr*taper</f>
        <v>0.75177605932081626</v>
      </c>
      <c r="G4" t="s">
        <v>5</v>
      </c>
      <c r="I4" s="5"/>
    </row>
    <row r="5" spans="1:15" ht="15.6" x14ac:dyDescent="0.35">
      <c r="A5" s="1" t="s">
        <v>10</v>
      </c>
      <c r="B5" s="4">
        <v>15</v>
      </c>
      <c r="C5" s="2" t="s">
        <v>11</v>
      </c>
      <c r="E5" t="s">
        <v>12</v>
      </c>
      <c r="F5">
        <f>(cr+ct)/2</f>
        <v>0.9128709291752769</v>
      </c>
      <c r="G5" t="s">
        <v>5</v>
      </c>
      <c r="I5" t="s">
        <v>13</v>
      </c>
      <c r="J5">
        <f>2/3*(cr*(1+taper+taper^2)/(1+taper))</f>
        <v>0.92234709799024517</v>
      </c>
      <c r="K5" t="s">
        <v>5</v>
      </c>
    </row>
    <row r="6" spans="1:15" ht="15.6" x14ac:dyDescent="0.35">
      <c r="E6" s="1" t="s">
        <v>14</v>
      </c>
      <c r="F6">
        <f>DEGREES(ATAN(TAN(RADIANS(lesweep))+2*(ct-cr)/b))</f>
        <v>8.5476949134431486</v>
      </c>
      <c r="G6" s="3" t="s">
        <v>11</v>
      </c>
      <c r="L6" s="5"/>
    </row>
    <row r="8" spans="1:15" ht="15.6" x14ac:dyDescent="0.35">
      <c r="A8" t="s">
        <v>15</v>
      </c>
      <c r="B8" s="4">
        <v>0.4</v>
      </c>
      <c r="C8" t="s">
        <v>16</v>
      </c>
      <c r="E8" s="1" t="s">
        <v>17</v>
      </c>
      <c r="F8">
        <f>DEGREES(ATAN(TAN(RADIANS(lesweep))+2*B8*(ct-cr)/b))</f>
        <v>12.456068697532308</v>
      </c>
      <c r="G8" t="s">
        <v>11</v>
      </c>
    </row>
    <row r="9" spans="1:15" x14ac:dyDescent="0.25">
      <c r="G9" s="5"/>
    </row>
    <row r="12" spans="1:15" x14ac:dyDescent="0.25">
      <c r="L12" t="s">
        <v>18</v>
      </c>
    </row>
    <row r="13" spans="1:15" x14ac:dyDescent="0.25">
      <c r="N13" t="s">
        <v>19</v>
      </c>
      <c r="O13" t="s">
        <v>20</v>
      </c>
    </row>
    <row r="14" spans="1:15" x14ac:dyDescent="0.25">
      <c r="L14" t="s">
        <v>21</v>
      </c>
      <c r="N14" s="3">
        <v>0</v>
      </c>
      <c r="O14" s="3">
        <v>0</v>
      </c>
    </row>
    <row r="15" spans="1:15" x14ac:dyDescent="0.25">
      <c r="G15" t="s">
        <v>22</v>
      </c>
      <c r="L15" t="s">
        <v>23</v>
      </c>
      <c r="N15" s="3">
        <f>-N19</f>
        <v>2.7386127875258306</v>
      </c>
      <c r="O15" s="3">
        <f>N19*TAN(RADIANS(B5))</f>
        <v>-0.73380908479909213</v>
      </c>
    </row>
    <row r="16" spans="1:15" x14ac:dyDescent="0.25">
      <c r="G16" t="s">
        <v>24</v>
      </c>
      <c r="L16" t="s">
        <v>25</v>
      </c>
      <c r="N16" s="3">
        <f>-N18</f>
        <v>2.7386127875258306</v>
      </c>
      <c r="O16" s="3">
        <f>O19-F4</f>
        <v>-1.4855851441199084</v>
      </c>
    </row>
    <row r="17" spans="1:15" x14ac:dyDescent="0.25">
      <c r="G17" t="s">
        <v>26</v>
      </c>
      <c r="L17" t="s">
        <v>27</v>
      </c>
      <c r="N17" s="3">
        <v>0</v>
      </c>
      <c r="O17" s="3">
        <f>-F3</f>
        <v>-1.0739657990297375</v>
      </c>
    </row>
    <row r="18" spans="1:15" x14ac:dyDescent="0.25">
      <c r="L18" t="s">
        <v>28</v>
      </c>
      <c r="N18" s="3">
        <f>N19</f>
        <v>-2.7386127875258306</v>
      </c>
      <c r="O18" s="3">
        <f>O19-F4</f>
        <v>-1.4855851441199084</v>
      </c>
    </row>
    <row r="19" spans="1:15" x14ac:dyDescent="0.25">
      <c r="L19" t="s">
        <v>29</v>
      </c>
      <c r="N19" s="3">
        <f>-F2/2</f>
        <v>-2.7386127875258306</v>
      </c>
      <c r="O19" s="3">
        <f>N19*TAN(RADIANS(B5))</f>
        <v>-0.73380908479909213</v>
      </c>
    </row>
    <row r="20" spans="1:15" x14ac:dyDescent="0.25">
      <c r="L20" t="s">
        <v>21</v>
      </c>
      <c r="N20" s="3">
        <v>0</v>
      </c>
      <c r="O20" s="3">
        <v>0</v>
      </c>
    </row>
    <row r="21" spans="1:15" x14ac:dyDescent="0.25">
      <c r="N21" s="3"/>
      <c r="O21" s="3"/>
    </row>
    <row r="22" spans="1:15" x14ac:dyDescent="0.25">
      <c r="L22" t="s">
        <v>30</v>
      </c>
      <c r="N22" s="3">
        <f>N14</f>
        <v>0</v>
      </c>
      <c r="O22" s="3">
        <f>O14-B8*F3</f>
        <v>-0.42958631961189503</v>
      </c>
    </row>
    <row r="23" spans="1:15" x14ac:dyDescent="0.25">
      <c r="L23" t="s">
        <v>31</v>
      </c>
      <c r="N23" s="3">
        <f>N19</f>
        <v>-2.7386127875258306</v>
      </c>
      <c r="O23" s="3">
        <f>O19-B8*F4</f>
        <v>-1.0345195085274186</v>
      </c>
    </row>
    <row r="29" spans="1:15" x14ac:dyDescent="0.25">
      <c r="A29" s="6" t="s">
        <v>32</v>
      </c>
      <c r="B29" s="7"/>
      <c r="E29" t="s">
        <v>1</v>
      </c>
    </row>
    <row r="30" spans="1:15" ht="15.6" x14ac:dyDescent="0.35">
      <c r="A30" s="5" t="s">
        <v>33</v>
      </c>
      <c r="B30" s="4">
        <v>0.2</v>
      </c>
      <c r="E30" s="5" t="s">
        <v>34</v>
      </c>
      <c r="F30">
        <f>B30*S</f>
        <v>1</v>
      </c>
      <c r="G30" t="s">
        <v>3</v>
      </c>
    </row>
    <row r="31" spans="1:15" x14ac:dyDescent="0.25">
      <c r="A31" s="5" t="s">
        <v>35</v>
      </c>
      <c r="B31" s="4">
        <v>3</v>
      </c>
      <c r="E31" t="s">
        <v>36</v>
      </c>
      <c r="F31" s="3">
        <f>SQRT(F30*B31)</f>
        <v>1.7320508075688772</v>
      </c>
      <c r="G31" t="s">
        <v>5</v>
      </c>
      <c r="H31">
        <f>F31*12</f>
        <v>20.784609690826528</v>
      </c>
    </row>
    <row r="32" spans="1:15" x14ac:dyDescent="0.25">
      <c r="A32" s="1" t="s">
        <v>37</v>
      </c>
      <c r="B32" s="4">
        <v>1</v>
      </c>
      <c r="E32" t="s">
        <v>38</v>
      </c>
      <c r="F32" s="3">
        <f>2*F30/F31/(1+B32)</f>
        <v>0.57735026918962584</v>
      </c>
      <c r="G32" t="s">
        <v>5</v>
      </c>
      <c r="H32">
        <f t="shared" ref="H32:H33" si="0">F32*12</f>
        <v>6.9282032302755105</v>
      </c>
    </row>
    <row r="33" spans="1:16" ht="15.6" x14ac:dyDescent="0.35">
      <c r="A33" s="1" t="s">
        <v>39</v>
      </c>
      <c r="B33" s="4">
        <v>0</v>
      </c>
      <c r="C33" s="2" t="s">
        <v>11</v>
      </c>
      <c r="E33" t="s">
        <v>40</v>
      </c>
      <c r="F33" s="3">
        <f>F32*B32</f>
        <v>0.57735026918962584</v>
      </c>
      <c r="G33" t="s">
        <v>5</v>
      </c>
      <c r="H33">
        <f t="shared" si="0"/>
        <v>6.9282032302755105</v>
      </c>
    </row>
    <row r="34" spans="1:16" ht="15.6" x14ac:dyDescent="0.35">
      <c r="E34" s="1" t="s">
        <v>41</v>
      </c>
      <c r="F34" s="3">
        <f>DEGREES(ATAN(TAN(RADIANS(B33))+2*(F33-F32)/F31))</f>
        <v>0</v>
      </c>
      <c r="G34" s="3" t="s">
        <v>11</v>
      </c>
    </row>
    <row r="36" spans="1:16" ht="15.6" x14ac:dyDescent="0.35">
      <c r="A36" t="s">
        <v>15</v>
      </c>
      <c r="B36" s="4">
        <v>0.4</v>
      </c>
      <c r="C36" t="s">
        <v>16</v>
      </c>
      <c r="E36" s="1" t="s">
        <v>42</v>
      </c>
      <c r="F36" s="3">
        <f>DEGREES(ATAN(TAN(RADIANS(B33))+2*B36*(F33-F32)/F31))</f>
        <v>0</v>
      </c>
      <c r="G36" s="5" t="s">
        <v>11</v>
      </c>
    </row>
    <row r="40" spans="1:16" x14ac:dyDescent="0.25">
      <c r="A40" s="6" t="s">
        <v>43</v>
      </c>
      <c r="B40" s="7"/>
      <c r="C40" s="7"/>
      <c r="E40" t="s">
        <v>1</v>
      </c>
    </row>
    <row r="41" spans="1:16" ht="15.6" x14ac:dyDescent="0.35">
      <c r="A41" s="5" t="s">
        <v>44</v>
      </c>
      <c r="B41" s="7">
        <v>0.7</v>
      </c>
      <c r="E41" s="5" t="s">
        <v>45</v>
      </c>
      <c r="F41">
        <f>B41*mac/B30</f>
        <v>3.2282148429658579</v>
      </c>
      <c r="G41" t="s">
        <v>5</v>
      </c>
      <c r="H41" t="s">
        <v>46</v>
      </c>
      <c r="L41">
        <f>F41*12</f>
        <v>38.738578115590293</v>
      </c>
      <c r="M41" t="s">
        <v>160</v>
      </c>
    </row>
    <row r="42" spans="1:16" ht="15.6" x14ac:dyDescent="0.35">
      <c r="A42" s="5" t="s">
        <v>47</v>
      </c>
      <c r="B42" s="7">
        <v>0.04</v>
      </c>
      <c r="E42" s="5" t="s">
        <v>48</v>
      </c>
      <c r="F42" s="8">
        <f>B42*b/F41</f>
        <v>6.7866927592954998E-2</v>
      </c>
      <c r="G42" t="s">
        <v>49</v>
      </c>
    </row>
    <row r="43" spans="1:16" x14ac:dyDescent="0.25">
      <c r="E43" s="5" t="s">
        <v>50</v>
      </c>
      <c r="F43">
        <f>F41/0.65</f>
        <v>4.9664843737936275</v>
      </c>
      <c r="G43" s="9" t="s">
        <v>51</v>
      </c>
      <c r="H43">
        <f>F41/0.45</f>
        <v>7.1738107621463509</v>
      </c>
      <c r="I43" s="5" t="s">
        <v>5</v>
      </c>
      <c r="L43">
        <f>F43*12</f>
        <v>59.597812485523534</v>
      </c>
      <c r="M43" t="s">
        <v>160</v>
      </c>
      <c r="N43" t="s">
        <v>51</v>
      </c>
      <c r="O43">
        <f>H43*12</f>
        <v>86.085729145756204</v>
      </c>
      <c r="P43" t="s">
        <v>160</v>
      </c>
    </row>
    <row r="44" spans="1:16" x14ac:dyDescent="0.25">
      <c r="E44" s="5" t="s">
        <v>149</v>
      </c>
      <c r="F44">
        <f>lt+0.3*mac</f>
        <v>3.5049189723629315</v>
      </c>
      <c r="L44">
        <f>lh*12</f>
        <v>42.059027668355178</v>
      </c>
      <c r="M44" t="s">
        <v>160</v>
      </c>
    </row>
  </sheetData>
  <phoneticPr fontId="3" type="noConversion"/>
  <pageMargins left="1" right="0.75" top="1" bottom="1" header="0.5" footer="0.5"/>
  <pageSetup orientation="portrait" horizontalDpi="300" verticalDpi="300" r:id="rId1"/>
  <headerFooter alignWithMargins="0">
    <oddHeader>&amp;CME 461 Design Template Spreadsheet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8"/>
  <sheetViews>
    <sheetView workbookViewId="0">
      <selection activeCell="G11" sqref="G11"/>
    </sheetView>
  </sheetViews>
  <sheetFormatPr defaultRowHeight="13.2" x14ac:dyDescent="0.25"/>
  <sheetData>
    <row r="1" spans="1:3" x14ac:dyDescent="0.25">
      <c r="A1" t="s">
        <v>52</v>
      </c>
      <c r="B1" s="11">
        <f>Geometry!F43</f>
        <v>4.9664843737936275</v>
      </c>
      <c r="C1" t="s">
        <v>5</v>
      </c>
    </row>
    <row r="2" spans="1:3" x14ac:dyDescent="0.25">
      <c r="A2" t="s">
        <v>53</v>
      </c>
      <c r="B2" s="11">
        <v>0.5</v>
      </c>
      <c r="C2" t="s">
        <v>5</v>
      </c>
    </row>
    <row r="3" spans="1:3" x14ac:dyDescent="0.25">
      <c r="A3" t="s">
        <v>54</v>
      </c>
      <c r="B3">
        <f>Geometry!F41</f>
        <v>3.2282148429658579</v>
      </c>
    </row>
    <row r="4" spans="1:3" x14ac:dyDescent="0.25">
      <c r="A4" t="s">
        <v>55</v>
      </c>
      <c r="B4" cm="1">
        <f t="array" ref="B4">2 + 2*PI()*dfuse*lfuse/(cr*(1 + taper)*b) + 2*shts + 2*svts</f>
        <v>4.0960009374737663</v>
      </c>
    </row>
    <row r="5" spans="1:3" x14ac:dyDescent="0.25">
      <c r="A5" t="s">
        <v>56</v>
      </c>
      <c r="B5" cm="1">
        <f t="array" ref="B5">a0/(1 + (57.3*a0)*1/(e*PI()*ar))</f>
        <v>7.7421722811569407E-2</v>
      </c>
    </row>
    <row r="6" spans="1:3" x14ac:dyDescent="0.25">
      <c r="A6" s="5" t="s">
        <v>151</v>
      </c>
      <c r="B6" s="11">
        <v>0.11</v>
      </c>
      <c r="C6" t="s">
        <v>169</v>
      </c>
    </row>
    <row r="7" spans="1:3" x14ac:dyDescent="0.25">
      <c r="A7" t="s">
        <v>57</v>
      </c>
      <c r="B7" s="11">
        <v>0.109</v>
      </c>
      <c r="C7" t="s">
        <v>169</v>
      </c>
    </row>
    <row r="8" spans="1:3" x14ac:dyDescent="0.25">
      <c r="A8" t="s">
        <v>58</v>
      </c>
      <c r="B8" cm="1">
        <f t="array" ref="B8">2/(2 - ar + SQRT(4 + ar^2*(1 + TAN(RADIANS(tmaxang))^2)))</f>
        <v>0.8123709697355479</v>
      </c>
    </row>
    <row r="9" spans="1:3" x14ac:dyDescent="0.25">
      <c r="A9" t="s">
        <v>59</v>
      </c>
      <c r="B9" cm="1">
        <f t="array" ref="B9">(awing + dtail)</f>
        <v>9.6136013854333319E-2</v>
      </c>
    </row>
    <row r="10" spans="1:3" x14ac:dyDescent="0.25">
      <c r="A10" t="s">
        <v>60</v>
      </c>
      <c r="B10" cm="1">
        <f t="array" ref="B10">a0*(1-dsda)*shts</f>
        <v>1.8714291042763908E-2</v>
      </c>
    </row>
    <row r="11" spans="1:3" x14ac:dyDescent="0.25">
      <c r="A11" t="s">
        <v>61</v>
      </c>
      <c r="B11" cm="1">
        <f t="array" ref="B11">3*awing*mgc*(10-(3*taper))*(1-zh/b)/(ar^0.725*lt)</f>
        <v>0.14154628244202255</v>
      </c>
    </row>
    <row r="12" spans="1:3" x14ac:dyDescent="0.25">
      <c r="A12" t="s">
        <v>62</v>
      </c>
      <c r="B12" s="11">
        <v>0</v>
      </c>
      <c r="C12" t="s">
        <v>5</v>
      </c>
    </row>
    <row r="13" spans="1:3" x14ac:dyDescent="0.25">
      <c r="A13" t="s">
        <v>63</v>
      </c>
      <c r="B13">
        <f>acraft*(15-al0)</f>
        <v>1.826584263232333</v>
      </c>
    </row>
    <row r="14" spans="1:3" x14ac:dyDescent="0.25">
      <c r="A14" t="s">
        <v>64</v>
      </c>
      <c r="B14" s="11">
        <v>-4</v>
      </c>
      <c r="C14" t="s">
        <v>11</v>
      </c>
    </row>
    <row r="15" spans="1:3" x14ac:dyDescent="0.25">
      <c r="A15" t="s">
        <v>65</v>
      </c>
      <c r="B15">
        <f>((1/e)+0.0035*PI()*ar)/(PI()*ar)</f>
        <v>6.8804706437957053E-2</v>
      </c>
    </row>
    <row r="16" spans="1:3" x14ac:dyDescent="0.25">
      <c r="A16" t="s">
        <v>66</v>
      </c>
      <c r="B16" cm="1">
        <f t="array" ref="B16">-2*kone*clmind</f>
        <v>-2.1307915639883664E-2</v>
      </c>
    </row>
    <row r="17" spans="1:5" x14ac:dyDescent="0.25">
      <c r="A17" t="s">
        <v>67</v>
      </c>
      <c r="B17">
        <f>(cfe*swets)+(kone*clmind^2)</f>
        <v>2.0081699756995326E-2</v>
      </c>
    </row>
    <row r="18" spans="1:5" x14ac:dyDescent="0.25">
      <c r="A18" t="s">
        <v>68</v>
      </c>
      <c r="B18">
        <f>awing*(-al0/2)</f>
        <v>0.15484344562313881</v>
      </c>
    </row>
    <row r="19" spans="1:5" x14ac:dyDescent="0.25">
      <c r="A19" t="s">
        <v>69</v>
      </c>
      <c r="B19" s="11">
        <v>4.4999999999999997E-3</v>
      </c>
      <c r="D19" s="5"/>
    </row>
    <row r="20" spans="1:5" x14ac:dyDescent="0.25">
      <c r="A20" t="s">
        <v>70</v>
      </c>
      <c r="B20">
        <f>SQRT(cd0/kone)</f>
        <v>0.5402455044785095</v>
      </c>
      <c r="D20" s="5"/>
    </row>
    <row r="21" spans="1:5" x14ac:dyDescent="0.25">
      <c r="A21" t="s">
        <v>71</v>
      </c>
      <c r="B21">
        <f>6/(SQRT(12*kone/cd0 + ktwo^2/cd0^2) - ktwo/cd0)</f>
        <v>0.79361430672019229</v>
      </c>
      <c r="D21" s="5"/>
    </row>
    <row r="22" spans="1:5" x14ac:dyDescent="0.25">
      <c r="A22" t="s">
        <v>72</v>
      </c>
      <c r="B22">
        <f>cd0+kone*clstar^2+ktwo*clstar</f>
        <v>2.8651893879736184E-2</v>
      </c>
      <c r="D22" s="5"/>
    </row>
    <row r="23" spans="1:5" x14ac:dyDescent="0.25">
      <c r="A23" t="s">
        <v>73</v>
      </c>
      <c r="B23">
        <f>cd0+kone*cldoublestar^2+ktwo*cldoublestar</f>
        <v>4.6506265631584068E-2</v>
      </c>
      <c r="D23" s="5"/>
    </row>
    <row r="25" spans="1:5" x14ac:dyDescent="0.25">
      <c r="A25" t="s">
        <v>161</v>
      </c>
      <c r="B25">
        <f>clstar/cdstar</f>
        <v>18.855490207598237</v>
      </c>
    </row>
    <row r="26" spans="1:5" x14ac:dyDescent="0.25">
      <c r="A26" t="s">
        <v>167</v>
      </c>
      <c r="B26">
        <f>SQRT((2/density)*wingload*(1/clmnf))</f>
        <v>31.549959014339848</v>
      </c>
      <c r="C26" t="s">
        <v>124</v>
      </c>
      <c r="D26">
        <f>B26*0.6818</f>
        <v>21.510762055976908</v>
      </c>
      <c r="E26" t="s">
        <v>168</v>
      </c>
    </row>
    <row r="28" spans="1:5" x14ac:dyDescent="0.25">
      <c r="A28" s="10" t="s">
        <v>74</v>
      </c>
    </row>
    <row r="37" spans="1:3" x14ac:dyDescent="0.25">
      <c r="A37" t="s">
        <v>75</v>
      </c>
      <c r="B37" t="s">
        <v>76</v>
      </c>
      <c r="C37" s="5"/>
    </row>
    <row r="38" spans="1:3" x14ac:dyDescent="0.25">
      <c r="A38">
        <v>0</v>
      </c>
      <c r="B38">
        <f t="shared" ref="B38:B58" si="0">cd0+kone*A38^2+ktwo*A38</f>
        <v>2.0081699756995326E-2</v>
      </c>
    </row>
    <row r="39" spans="1:3" x14ac:dyDescent="0.25">
      <c r="A39">
        <v>0.1</v>
      </c>
      <c r="B39">
        <f t="shared" si="0"/>
        <v>1.8638955257386531E-2</v>
      </c>
    </row>
    <row r="40" spans="1:3" x14ac:dyDescent="0.25">
      <c r="A40">
        <v>0.2</v>
      </c>
      <c r="B40">
        <f t="shared" si="0"/>
        <v>1.8572304886536876E-2</v>
      </c>
    </row>
    <row r="41" spans="1:3" x14ac:dyDescent="0.25">
      <c r="A41">
        <v>0.3</v>
      </c>
      <c r="B41">
        <f t="shared" si="0"/>
        <v>1.9881748644446362E-2</v>
      </c>
    </row>
    <row r="42" spans="1:3" x14ac:dyDescent="0.25">
      <c r="A42">
        <v>0.4</v>
      </c>
      <c r="B42">
        <f t="shared" si="0"/>
        <v>2.2567286531114991E-2</v>
      </c>
    </row>
    <row r="43" spans="1:3" x14ac:dyDescent="0.25">
      <c r="A43">
        <v>0.5</v>
      </c>
      <c r="B43">
        <f t="shared" si="0"/>
        <v>2.6628918546542753E-2</v>
      </c>
    </row>
    <row r="44" spans="1:3" x14ac:dyDescent="0.25">
      <c r="A44">
        <v>0.6</v>
      </c>
      <c r="B44">
        <f t="shared" si="0"/>
        <v>3.2066644690729666E-2</v>
      </c>
    </row>
    <row r="45" spans="1:3" x14ac:dyDescent="0.25">
      <c r="A45">
        <v>0.7</v>
      </c>
      <c r="B45">
        <f t="shared" si="0"/>
        <v>3.8880464963675719E-2</v>
      </c>
    </row>
    <row r="46" spans="1:3" x14ac:dyDescent="0.25">
      <c r="A46">
        <v>0.8</v>
      </c>
      <c r="B46">
        <f t="shared" si="0"/>
        <v>4.7070379365380915E-2</v>
      </c>
    </row>
    <row r="47" spans="1:3" x14ac:dyDescent="0.25">
      <c r="A47">
        <v>0.9</v>
      </c>
      <c r="B47">
        <f t="shared" si="0"/>
        <v>5.6636387895845242E-2</v>
      </c>
    </row>
    <row r="48" spans="1:3" x14ac:dyDescent="0.25">
      <c r="A48">
        <v>1</v>
      </c>
      <c r="B48">
        <f t="shared" si="0"/>
        <v>6.7578490555068704E-2</v>
      </c>
    </row>
    <row r="49" spans="1:2" x14ac:dyDescent="0.25">
      <c r="A49">
        <v>1.1000000000000001</v>
      </c>
      <c r="B49">
        <f t="shared" si="0"/>
        <v>7.9896687343051331E-2</v>
      </c>
    </row>
    <row r="50" spans="1:2" x14ac:dyDescent="0.25">
      <c r="A50">
        <v>1.2</v>
      </c>
      <c r="B50">
        <f t="shared" si="0"/>
        <v>9.3590978259793081E-2</v>
      </c>
    </row>
    <row r="51" spans="1:2" x14ac:dyDescent="0.25">
      <c r="A51">
        <v>1.3</v>
      </c>
      <c r="B51">
        <f t="shared" si="0"/>
        <v>0.108661363305294</v>
      </c>
    </row>
    <row r="52" spans="1:2" x14ac:dyDescent="0.25">
      <c r="A52">
        <v>1.4</v>
      </c>
      <c r="B52">
        <f t="shared" si="0"/>
        <v>0.125107842479554</v>
      </c>
    </row>
    <row r="53" spans="1:2" x14ac:dyDescent="0.25">
      <c r="A53">
        <v>1.5</v>
      </c>
      <c r="B53">
        <f t="shared" si="0"/>
        <v>0.14293041578257321</v>
      </c>
    </row>
    <row r="54" spans="1:2" x14ac:dyDescent="0.25">
      <c r="A54">
        <v>1.6</v>
      </c>
      <c r="B54">
        <f t="shared" si="0"/>
        <v>0.16212908321435157</v>
      </c>
    </row>
    <row r="55" spans="1:2" x14ac:dyDescent="0.25">
      <c r="A55">
        <v>1.7</v>
      </c>
      <c r="B55">
        <f t="shared" si="0"/>
        <v>0.18270384477488899</v>
      </c>
    </row>
    <row r="56" spans="1:2" x14ac:dyDescent="0.25">
      <c r="A56">
        <v>1.8</v>
      </c>
      <c r="B56">
        <f t="shared" si="0"/>
        <v>0.2046547004641856</v>
      </c>
    </row>
    <row r="57" spans="1:2" x14ac:dyDescent="0.25">
      <c r="A57">
        <v>1.9</v>
      </c>
      <c r="B57">
        <f t="shared" si="0"/>
        <v>0.22798165028224129</v>
      </c>
    </row>
    <row r="58" spans="1:2" x14ac:dyDescent="0.25">
      <c r="A58">
        <v>2</v>
      </c>
      <c r="B58">
        <f t="shared" si="0"/>
        <v>0.25268469422905621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1C5F2-4C25-40B0-AC06-DB7596ED0919}">
  <dimension ref="A1:J53"/>
  <sheetViews>
    <sheetView workbookViewId="0">
      <selection activeCell="N25" sqref="N25"/>
    </sheetView>
  </sheetViews>
  <sheetFormatPr defaultRowHeight="13.2" x14ac:dyDescent="0.25"/>
  <cols>
    <col min="1" max="1" width="5.88671875" bestFit="1" customWidth="1"/>
    <col min="2" max="2" width="11.88671875" bestFit="1" customWidth="1"/>
    <col min="3" max="3" width="8.109375" bestFit="1" customWidth="1"/>
    <col min="4" max="4" width="9.6640625" bestFit="1" customWidth="1"/>
    <col min="5" max="5" width="16" bestFit="1" customWidth="1"/>
    <col min="6" max="6" width="8.109375" bestFit="1" customWidth="1"/>
    <col min="7" max="7" width="8" bestFit="1" customWidth="1"/>
  </cols>
  <sheetData>
    <row r="1" spans="1:7" x14ac:dyDescent="0.25">
      <c r="B1" s="10" t="s">
        <v>77</v>
      </c>
      <c r="C1" s="5" t="s">
        <v>78</v>
      </c>
      <c r="D1" s="5" t="s">
        <v>79</v>
      </c>
      <c r="E1" s="5" t="s">
        <v>80</v>
      </c>
      <c r="F1" s="5" t="s">
        <v>81</v>
      </c>
      <c r="G1" s="5" t="s">
        <v>82</v>
      </c>
    </row>
    <row r="2" spans="1:7" x14ac:dyDescent="0.25">
      <c r="A2" s="10" t="s">
        <v>83</v>
      </c>
      <c r="B2" s="5" t="s">
        <v>84</v>
      </c>
      <c r="C2" s="5" t="s">
        <v>85</v>
      </c>
      <c r="D2" s="5" t="s">
        <v>85</v>
      </c>
      <c r="E2" s="5" t="s">
        <v>85</v>
      </c>
      <c r="F2" s="5" t="s">
        <v>84</v>
      </c>
      <c r="G2" s="5" t="s">
        <v>85</v>
      </c>
    </row>
    <row r="3" spans="1:7" x14ac:dyDescent="0.25">
      <c r="B3">
        <v>0.1</v>
      </c>
      <c r="C3" cm="1">
        <f t="array" ref="C3">(1/2*density*vcruise^3*cd0/B3 + kone*ncruise^2*B3/(1/2*density*vcruise) + ktwo*ncruise*vcruise)/etaprop</f>
        <v>198.30967964089135</v>
      </c>
      <c r="D3">
        <f t="shared" ref="D3:D34" si="0">1/0.75*(cddoublestar*(2/(density*cldoublestar))^(1/2)*(B3)^(1/2)/cldoublestar + climbrate)</f>
        <v>20.836256736616011</v>
      </c>
      <c r="E3">
        <f t="shared" ref="E3:E34" si="1">(1/2*density*vturn^3*cd0/B3 + kone*ncircle^2*B3/(1/2*density*vturn) + ktwo*ncircle*vturn)/etaprop</f>
        <v>98.165176208580078</v>
      </c>
      <c r="F3">
        <f>density*32.2*sl*((cd0/2) + (clmnf/1.69)*(0.4))</f>
        <v>6.2674767117236909</v>
      </c>
      <c r="G3" cm="1">
        <f t="array" ref="G3">1.2^3/etaprop*(B3/(density*clmnf))^(1/2)*(B3/(32.2*density*slo) + cd0/2 + (0.02*clmnf)/1.44)</f>
        <v>0.67739395592539298</v>
      </c>
    </row>
    <row r="4" spans="1:7" x14ac:dyDescent="0.25">
      <c r="B4">
        <v>0.2</v>
      </c>
      <c r="C4" cm="1">
        <f t="array" ref="C4">(1/2*density*vcruise^3*cd0/B4 + kone*ncruise^2*B4/(1/2*density*vcruise) + ktwo*ncruise*vcruise)/etaprop</f>
        <v>98.046933920615118</v>
      </c>
      <c r="D4">
        <f t="shared" si="0"/>
        <v>21.182645618548229</v>
      </c>
      <c r="E4">
        <f t="shared" si="1"/>
        <v>47.676347922690503</v>
      </c>
      <c r="F4">
        <f t="shared" ref="F4:F34" si="2">density*32.2*sl*((cd0/2) + (clmnf/1.69)*(0.4))</f>
        <v>6.2674767117236909</v>
      </c>
      <c r="G4" cm="1">
        <f t="array" ref="G4">1.2^3/etaprop*(B4/(density*clmnf))^(1/2)*(B4/(32.2*density*slo) + cd0/2 + (0.02*clmnf)/1.44)</f>
        <v>1.3403960883797967</v>
      </c>
    </row>
    <row r="5" spans="1:7" x14ac:dyDescent="0.25">
      <c r="B5">
        <v>0.3</v>
      </c>
      <c r="C5" cm="1">
        <f t="array" ref="C5">(1/2*density*vcruise^3*cd0/B5 + kone*ncruise^2*B5/(1/2*density*vcruise) + ktwo*ncruise*vcruise)/etaprop</f>
        <v>64.68920022913457</v>
      </c>
      <c r="D5">
        <f t="shared" si="0"/>
        <v>21.448439155990677</v>
      </c>
      <c r="E5">
        <f t="shared" si="1"/>
        <v>31.442885795544338</v>
      </c>
      <c r="F5">
        <f t="shared" si="2"/>
        <v>6.2674767117236909</v>
      </c>
      <c r="G5" cm="1">
        <f t="array" ref="G5">1.2^3/etaprop*(B5/(density*clmnf))^(1/2)*(B5/(32.2*density*slo) + cd0/2 + (0.02*clmnf)/1.44)</f>
        <v>2.110005721350154</v>
      </c>
    </row>
    <row r="6" spans="1:7" x14ac:dyDescent="0.25">
      <c r="B6">
        <v>0.4</v>
      </c>
      <c r="C6" cm="1">
        <f t="array" ref="C6">(1/2*density*vcruise^3*cd0/B6 + kone*ncruise^2*B6/(1/2*density*vcruise) + ktwo*ncruise*vcruise)/etaprop</f>
        <v>48.057719544852937</v>
      </c>
      <c r="D6">
        <f t="shared" si="0"/>
        <v>21.672513473232023</v>
      </c>
      <c r="E6">
        <f t="shared" si="1"/>
        <v>23.773265208084016</v>
      </c>
      <c r="F6">
        <f t="shared" si="2"/>
        <v>6.2674767117236909</v>
      </c>
      <c r="G6" cm="1">
        <f t="array" ref="G6">1.2^3/etaprop*(B6/(density*clmnf))^(1/2)*(B6/(32.2*density*slo) + cd0/2 + (0.02*clmnf)/1.44)</f>
        <v>2.977243157714093</v>
      </c>
    </row>
    <row r="7" spans="1:7" x14ac:dyDescent="0.25">
      <c r="B7">
        <v>0.5</v>
      </c>
      <c r="C7" cm="1">
        <f t="array" ref="C7">(1/2*density*vcruise^3*cd0/B7 + kone*ncruise^2*B7/(1/2*density*vcruise) + ktwo*ncruise*vcruise)/etaprop</f>
        <v>38.116740063450884</v>
      </c>
      <c r="D7">
        <f t="shared" si="0"/>
        <v>21.869926909715545</v>
      </c>
      <c r="E7">
        <f t="shared" si="1"/>
        <v>19.529181236498037</v>
      </c>
      <c r="F7">
        <f t="shared" si="2"/>
        <v>6.2674767117236909</v>
      </c>
      <c r="G7" cm="1">
        <f t="array" ref="G7">1.2^3/etaprop*(B7/(density*clmnf))^(1/2)*(B7/(32.2*density*slo) + cd0/2 + (0.02*clmnf)/1.44)</f>
        <v>3.933312413131</v>
      </c>
    </row>
    <row r="8" spans="1:7" x14ac:dyDescent="0.25">
      <c r="B8">
        <v>0.6</v>
      </c>
      <c r="C8" cm="1">
        <f t="array" ref="C8">(1/2*density*vcruise^3*cd0/B8 + kone*ncruise^2*B8/(1/2*density*vcruise) + ktwo*ncruise*vcruise)/etaprop</f>
        <v>31.521011183488611</v>
      </c>
      <c r="D8">
        <f t="shared" si="0"/>
        <v>22.048402298674254</v>
      </c>
      <c r="E8">
        <f t="shared" si="1"/>
        <v>16.997865572849225</v>
      </c>
      <c r="F8">
        <f t="shared" si="2"/>
        <v>6.2674767117236909</v>
      </c>
      <c r="G8" cm="1">
        <f t="array" ref="G8">1.2^3/etaprop*(B8/(density*clmnf))^(1/2)*(B8/(32.2*density*slo) + cd0/2 + (0.02*clmnf)/1.44)</f>
        <v>4.9710924492516764</v>
      </c>
    </row>
    <row r="9" spans="1:7" x14ac:dyDescent="0.25">
      <c r="B9">
        <v>0.7</v>
      </c>
      <c r="C9" cm="1">
        <f t="array" ref="C9">(1/2*density*vcruise^3*cd0/B9 + kone*ncruise^2*B9/(1/2*density*vcruise) + ktwo*ncruise*vcruise)/etaprop</f>
        <v>26.836854075777648</v>
      </c>
      <c r="D9">
        <f t="shared" si="0"/>
        <v>22.212527357288412</v>
      </c>
      <c r="E9">
        <f t="shared" si="1"/>
        <v>15.445274656593087</v>
      </c>
      <c r="F9">
        <f t="shared" si="2"/>
        <v>6.2674767117236909</v>
      </c>
      <c r="G9" cm="1">
        <f t="array" ref="G9">1.2^3/etaprop*(B9/(density*clmnf))^(1/2)*(B9/(32.2*density*slo) + cd0/2 + (0.02*clmnf)/1.44)</f>
        <v>6.0848290408833021</v>
      </c>
    </row>
    <row r="10" spans="1:7" x14ac:dyDescent="0.25">
      <c r="B10">
        <v>0.8</v>
      </c>
      <c r="C10" cm="1">
        <f t="array" ref="C10">(1/2*density*vcruise^3*cd0/B10 + kone*ncruise^2*B10/(1/2*density*vcruise) + ktwo*ncruise*vcruise)/etaprop</f>
        <v>23.347429325723738</v>
      </c>
      <c r="D10">
        <f t="shared" si="0"/>
        <v>22.365291237096461</v>
      </c>
      <c r="E10">
        <f t="shared" si="1"/>
        <v>14.504386707457362</v>
      </c>
      <c r="F10">
        <f t="shared" si="2"/>
        <v>6.2674767117236909</v>
      </c>
      <c r="G10" cm="1">
        <f t="array" ref="G10">1.2^3/etaprop*(B10/(density*clmnf))^(1/2)*(B10/(32.2*density*slo) + cd0/2 + (0.02*clmnf)/1.44)</f>
        <v>7.2697886028461189</v>
      </c>
    </row>
    <row r="11" spans="1:7" x14ac:dyDescent="0.25">
      <c r="B11">
        <v>0.9</v>
      </c>
      <c r="C11" cm="1">
        <f t="array" ref="C11">(1/2*density*vcruise^3*cd0/B11 + kone*ncruise^2*B11/(1/2*density*vcruise) + ktwo*ncruise*vcruise)/etaprop</f>
        <v>20.654492814107883</v>
      </c>
      <c r="D11">
        <f t="shared" si="0"/>
        <v>22.508770209848038</v>
      </c>
      <c r="E11">
        <f t="shared" si="1"/>
        <v>13.97130073640192</v>
      </c>
      <c r="F11">
        <f t="shared" si="2"/>
        <v>6.2674767117236909</v>
      </c>
      <c r="G11" cm="1">
        <f t="array" ref="G11">1.2^3/etaprop*(B11/(density*clmnf))^(1/2)*(B11/(32.2*density*slo) + cd0/2 + (0.02*clmnf)/1.44)</f>
        <v>8.5220028512294039</v>
      </c>
    </row>
    <row r="12" spans="1:7" x14ac:dyDescent="0.25">
      <c r="B12">
        <v>1</v>
      </c>
      <c r="C12" cm="1">
        <f t="array" ref="C12">(1/2*density*vcruise^3*cd0/B12 + kone*ncruise^2*B12/(1/2*density*vcruise) + ktwo*ncruise*vcruise)/etaprop</f>
        <v>18.519098069398655</v>
      </c>
      <c r="D12">
        <f t="shared" si="0"/>
        <v>22.644475996366129</v>
      </c>
      <c r="E12">
        <f t="shared" si="1"/>
        <v>13.723676150002669</v>
      </c>
      <c r="F12">
        <f t="shared" si="2"/>
        <v>6.2674767117236909</v>
      </c>
      <c r="G12" cm="1">
        <f t="array" ref="G12">1.2^3/etaprop*(B12/(density*clmnf))^(1/2)*(B12/(32.2*density*slo) + cd0/2 + (0.02*clmnf)/1.44)</f>
        <v>9.8380887418807461</v>
      </c>
    </row>
    <row r="13" spans="1:7" x14ac:dyDescent="0.25">
      <c r="B13">
        <v>1.1000000000000001</v>
      </c>
      <c r="C13" cm="1">
        <f t="array" ref="C13">(1/2*density*vcruise^3*cd0/B13 + kone*ncruise^2*B13/(1/2*density*vcruise) + ktwo*ncruise*vcruise)/etaprop</f>
        <v>16.789188246076069</v>
      </c>
      <c r="D13">
        <f t="shared" si="0"/>
        <v>22.773549823762373</v>
      </c>
      <c r="E13">
        <f t="shared" si="1"/>
        <v>13.68365984335338</v>
      </c>
      <c r="F13">
        <f t="shared" si="2"/>
        <v>6.2674767117236909</v>
      </c>
      <c r="G13" cm="1">
        <f t="array" ref="G13">1.2^3/etaprop*(B13/(density*clmnf))^(1/2)*(B13/(32.2*density*slo) + cd0/2 + (0.02*clmnf)/1.44)</f>
        <v>11.215120403179755</v>
      </c>
    </row>
    <row r="14" spans="1:7" x14ac:dyDescent="0.25">
      <c r="B14">
        <v>1.2</v>
      </c>
      <c r="C14" cm="1">
        <f t="array" ref="C14">(1/2*density*vcruise^3*cd0/B14 + kone*ncruise^2*B14/(1/2*density*vcruise) + ktwo*ncruise*vcruise)/etaprop</f>
        <v>15.363392113793465</v>
      </c>
      <c r="D14">
        <f t="shared" si="0"/>
        <v>22.896878311981357</v>
      </c>
      <c r="E14">
        <f t="shared" si="1"/>
        <v>13.79934974651656</v>
      </c>
      <c r="F14">
        <f t="shared" si="2"/>
        <v>6.2674767117236909</v>
      </c>
      <c r="G14" cm="1">
        <f t="array" ref="G14">1.2^3/etaprop*(B14/(density*clmnf))^(1/2)*(B14/(32.2*density*slo) + cd0/2 + (0.02*clmnf)/1.44)</f>
        <v>12.650536199226016</v>
      </c>
    </row>
    <row r="15" spans="1:7" x14ac:dyDescent="0.25">
      <c r="B15">
        <v>1.3</v>
      </c>
      <c r="C15" cm="1">
        <f t="array" ref="C15">(1/2*density*vcruise^3*cd0/B15 + kone*ncruise^2*B15/(1/2*density*vcruise) + ktwo*ncruise*vcruise)/etaprop</f>
        <v>14.171529590003148</v>
      </c>
      <c r="D15">
        <f t="shared" si="0"/>
        <v>23.015166543321218</v>
      </c>
      <c r="E15">
        <f t="shared" si="1"/>
        <v>14.034813657227794</v>
      </c>
      <c r="F15">
        <f t="shared" si="2"/>
        <v>6.2674767117236909</v>
      </c>
      <c r="G15" cm="1">
        <f t="array" ref="G15">1.2^3/etaprop*(B15/(density*clmnf))^(1/2)*(B15/(32.2*density*slo) + cd0/2 + (0.02*clmnf)/1.44)</f>
        <v>14.142069803989768</v>
      </c>
    </row>
    <row r="16" spans="1:7" x14ac:dyDescent="0.25">
      <c r="B16">
        <v>1.4</v>
      </c>
      <c r="C16" cm="1">
        <f t="array" ref="C16">(1/2*density*vcruise^3*cd0/B16 + kone*ncruise^2*B16/(1/2*density*vcruise) + ktwo*ncruise*vcruise)/etaprop</f>
        <v>13.163472044313925</v>
      </c>
      <c r="D16">
        <f t="shared" si="0"/>
        <v>23.128986195798774</v>
      </c>
      <c r="E16">
        <f t="shared" si="1"/>
        <v>14.364385716726785</v>
      </c>
      <c r="F16">
        <f t="shared" si="2"/>
        <v>6.2674767117236909</v>
      </c>
      <c r="G16" cm="1">
        <f t="array" ref="G16">1.2^3/etaprop*(B16/(density*clmnf))^(1/2)*(B16/(32.2*density*slo) + cd0/2 + (0.02*clmnf)/1.44)</f>
        <v>15.68769801896584</v>
      </c>
    </row>
    <row r="17" spans="2:10" x14ac:dyDescent="0.25">
      <c r="B17">
        <v>1.5</v>
      </c>
      <c r="C17" cm="1">
        <f t="array" ref="C17">(1/2*density*vcruise^3*cd0/B17 + kone*ncruise^2*B17/(1/2*density*vcruise) + ktwo*ncruise*vcruise)/etaprop</f>
        <v>12.302458481105568</v>
      </c>
      <c r="D17">
        <f t="shared" si="0"/>
        <v>23.238808414067581</v>
      </c>
      <c r="E17">
        <f t="shared" si="1"/>
        <v>14.76924429525598</v>
      </c>
      <c r="F17">
        <f t="shared" si="2"/>
        <v>6.2674767117236909</v>
      </c>
      <c r="G17" cm="1">
        <f t="array" ref="G17">1.2^3/etaprop*(B17/(density*clmnf))^(1/2)*(B17/(32.2*density*slo) + cd0/2 + (0.02*clmnf)/1.44)</f>
        <v>17.285600520243314</v>
      </c>
    </row>
    <row r="18" spans="2:10" x14ac:dyDescent="0.25">
      <c r="B18">
        <v>1.6</v>
      </c>
      <c r="C18" cm="1">
        <f t="array" ref="C18">(1/2*density*vcruise^3*cd0/B18 + kone*ncruise^2*B18/(1/2*density*vcruise) + ktwo*ncruise*vcruise)/etaprop</f>
        <v>11.560918153662916</v>
      </c>
      <c r="D18">
        <f t="shared" si="0"/>
        <v>23.345026946464053</v>
      </c>
      <c r="E18">
        <f t="shared" si="1"/>
        <v>15.235273170497221</v>
      </c>
      <c r="F18">
        <f t="shared" si="2"/>
        <v>6.2674767117236909</v>
      </c>
      <c r="G18" cm="1">
        <f t="array" ref="G18">1.2^3/etaprop*(B18/(density*clmnf))^(1/2)*(B18/(32.2*density*slo) + cd0/2 + (0.02*clmnf)/1.44)</f>
        <v>18.934128282334644</v>
      </c>
    </row>
    <row r="19" spans="2:10" x14ac:dyDescent="0.25">
      <c r="B19">
        <v>1.7</v>
      </c>
      <c r="C19" cm="1">
        <f t="array" ref="C19">(1/2*density*vcruise^3*cd0/B19 + kone*ncruise^2*B19/(1/2*density*vcruise) + ktwo*ncruise*vcruise)/etaprop</f>
        <v>10.917767549792025</v>
      </c>
      <c r="D19">
        <f t="shared" si="0"/>
        <v>23.447974855202151</v>
      </c>
      <c r="E19">
        <f t="shared" si="1"/>
        <v>15.751677584207195</v>
      </c>
      <c r="F19">
        <f t="shared" si="2"/>
        <v>6.2674767117236909</v>
      </c>
      <c r="G19" cm="1">
        <f t="array" ref="G19">1.2^3/etaprop*(B19/(density*clmnf))^(1/2)*(B19/(32.2*density*slo) + cd0/2 + (0.02*clmnf)/1.44)</f>
        <v>20.63177843452041</v>
      </c>
    </row>
    <row r="20" spans="2:10" x14ac:dyDescent="0.25">
      <c r="B20">
        <v>1.8</v>
      </c>
      <c r="C20" cm="1">
        <f t="array" ref="C20">(1/2*density*vcruise^3*cd0/B20 + kone*ncruise^2*B20/(1/2*density*vcruise) + ktwo*ncruise*vcruise)/etaprop</f>
        <v>10.356608382230929</v>
      </c>
      <c r="D20">
        <f t="shared" si="0"/>
        <v>23.547936855644693</v>
      </c>
      <c r="E20">
        <f t="shared" si="1"/>
        <v>16.310061613307795</v>
      </c>
      <c r="F20">
        <f t="shared" si="2"/>
        <v>6.2674767117236909</v>
      </c>
      <c r="G20" cm="1">
        <f t="array" ref="G20">1.2^3/etaprop*(B20/(density*clmnf))^(1/2)*(B20/(32.2*density*slo) + cd0/2 + (0.02*clmnf)/1.44)</f>
        <v>22.377173969485497</v>
      </c>
    </row>
    <row r="21" spans="2:10" x14ac:dyDescent="0.25">
      <c r="B21">
        <v>1.9</v>
      </c>
      <c r="C21" cm="1">
        <f t="array" ref="C21">(1/2*density*vcruise^3*cd0/B21 + kone*ncruise^2*B21/(1/2*density*vcruise) + ktwo*ncruise*vcruise)/etaprop</f>
        <v>9.8644946347201969</v>
      </c>
      <c r="D21">
        <f t="shared" si="0"/>
        <v>23.645158605764312</v>
      </c>
      <c r="E21">
        <f t="shared" si="1"/>
        <v>16.903796897474169</v>
      </c>
      <c r="F21">
        <f t="shared" si="2"/>
        <v>6.2674767117236909</v>
      </c>
      <c r="G21" cm="1">
        <f t="array" ref="G21">1.2^3/etaprop*(B21/(density*clmnf))^(1/2)*(B21/(32.2*density*slo) + cd0/2 + (0.02*clmnf)/1.44)</f>
        <v>24.16904717025081</v>
      </c>
    </row>
    <row r="22" spans="2:10" x14ac:dyDescent="0.25">
      <c r="B22">
        <v>2</v>
      </c>
      <c r="C22" cm="1">
        <f t="array" ref="C22">(1/2*density*vcruise^3*cd0/B22 + kone*ncruise^2*B22/(1/2*density*vcruise) + ktwo*ncruise*vcruise)/etaprop</f>
        <v>9.4310694942522613</v>
      </c>
      <c r="D22">
        <f t="shared" si="0"/>
        <v>23.739853819431083</v>
      </c>
      <c r="E22">
        <f t="shared" si="1"/>
        <v>17.527580748446464</v>
      </c>
      <c r="F22">
        <f t="shared" si="2"/>
        <v>6.2674767117236909</v>
      </c>
      <c r="G22" cm="1">
        <f t="array" ref="G22">1.2^3/etaprop*(B22/(density*clmnf))^(1/2)*(B22/(32.2*density*slo) + cd0/2 + (0.02*clmnf)/1.44)</f>
        <v>26.00622592726944</v>
      </c>
    </row>
    <row r="23" spans="2:10" x14ac:dyDescent="0.25">
      <c r="B23">
        <v>2.1</v>
      </c>
      <c r="C23" cm="1">
        <f t="array" ref="C23">(1/2*density*vcruise^3*cd0/B23 + kone*ncruise^2*B23/(1/2*density*vcruise) + ktwo*ncruise*vcruise)/etaprop</f>
        <v>9.0479488741067318</v>
      </c>
      <c r="D23">
        <f t="shared" si="0"/>
        <v>23.832209795959631</v>
      </c>
      <c r="E23">
        <f t="shared" si="1"/>
        <v>18.177120513823827</v>
      </c>
      <c r="F23">
        <f t="shared" si="2"/>
        <v>6.2674767117236909</v>
      </c>
      <c r="G23" cm="1">
        <f t="array" ref="G23">1.2^3/etaprop*(B23/(density*clmnf))^(1/2)*(B23/(32.2*density*slo) + cd0/2 + (0.02*clmnf)/1.44)</f>
        <v>27.887622331156329</v>
      </c>
      <c r="I23" s="10" t="s">
        <v>86</v>
      </c>
    </row>
    <row r="24" spans="2:10" x14ac:dyDescent="0.25">
      <c r="B24">
        <v>2.2000000000000002</v>
      </c>
      <c r="C24" cm="1">
        <f t="array" ref="C24">(1/2*density*vcruise^3*cd0/B24 + kone*ncruise^2*B24/(1/2*density*vcruise) + ktwo*ncruise*vcruise)/etaprop</f>
        <v>8.7082730669669122</v>
      </c>
      <c r="D24">
        <f t="shared" si="0"/>
        <v>23.922391776682261</v>
      </c>
      <c r="E24">
        <f t="shared" si="1"/>
        <v>18.848904023460118</v>
      </c>
      <c r="F24">
        <f t="shared" si="2"/>
        <v>6.2674767117236909</v>
      </c>
      <c r="G24" cm="1">
        <f t="array" ref="G24">1.2^3/etaprop*(B24/(density*clmnf))^(1/2)*(B24/(32.2*density*slo) + cd0/2 + (0.02*clmnf)/1.44)</f>
        <v>29.812223078300676</v>
      </c>
      <c r="I24" s="5" t="s">
        <v>87</v>
      </c>
      <c r="J24">
        <v>2</v>
      </c>
    </row>
    <row r="25" spans="2:10" x14ac:dyDescent="0.25">
      <c r="B25">
        <v>2.2999999999999998</v>
      </c>
      <c r="C25" cm="1">
        <f t="array" ref="C25">(1/2*density*vcruise^3*cd0/B25 + kone*ncruise^2*B25/(1/2*density*vcruise) + ktwo*ncruise*vcruise)/etaprop</f>
        <v>8.4063753580929319</v>
      </c>
      <c r="D25">
        <f t="shared" si="0"/>
        <v>24.010546419045699</v>
      </c>
      <c r="E25">
        <f t="shared" si="1"/>
        <v>19.540029919408511</v>
      </c>
      <c r="F25">
        <f t="shared" si="2"/>
        <v>6.2674767117236909</v>
      </c>
      <c r="G25" cm="1">
        <f t="array" ref="G25">1.2^3/etaprop*(B25/(density*clmnf))^(1/2)*(B25/(32.2*density*slo) + cd0/2 + (0.02*clmnf)/1.44)</f>
        <v>31.779081336204733</v>
      </c>
      <c r="I25" s="5" t="s">
        <v>88</v>
      </c>
      <c r="J25">
        <v>104</v>
      </c>
    </row>
    <row r="26" spans="2:10" x14ac:dyDescent="0.25">
      <c r="B26">
        <v>2.4</v>
      </c>
      <c r="C26" cm="1">
        <f t="array" ref="C26">(1/2*density*vcruise^3*cd0/B26 + kone*ncruise^2*B26/(1/2*density*vcruise) + ktwo*ncruise*vcruise)/etaprop</f>
        <v>8.1375334852015548</v>
      </c>
      <c r="D26">
        <f t="shared" si="0"/>
        <v>24.096804597348516</v>
      </c>
      <c r="E26">
        <f t="shared" si="1"/>
        <v>20.248080403380001</v>
      </c>
      <c r="F26">
        <f t="shared" si="2"/>
        <v>6.2674767117236909</v>
      </c>
      <c r="G26" cm="1">
        <f t="array" ref="G26">1.2^3/etaprop*(B26/(density*clmnf))^(1/2)*(B26/(32.2*density*slo) + cd0/2 + (0.02*clmnf)/1.44)</f>
        <v>33.787309795704928</v>
      </c>
    </row>
    <row r="27" spans="2:10" x14ac:dyDescent="0.25">
      <c r="B27">
        <v>2.5</v>
      </c>
      <c r="C27" cm="1">
        <f t="array" ref="C27">(1/2*density*vcruise^3*cd0/B27 + kone*ncruise^2*B27/(1/2*density*vcruise) + ktwo*ncruise*vcruise)/etaprop</f>
        <v>7.8977807479748714</v>
      </c>
      <c r="D27">
        <f t="shared" si="0"/>
        <v>24.181283683080068</v>
      </c>
      <c r="E27">
        <f t="shared" si="1"/>
        <v>20.971024524811813</v>
      </c>
      <c r="F27">
        <f t="shared" si="2"/>
        <v>6.2674767117236909</v>
      </c>
      <c r="G27" cm="1">
        <f t="array" ref="G27">1.2^3/etaprop*(B27/(density*clmnf))^(1/2)*(B27/(32.2*density*slo) + cd0/2 + (0.02*clmnf)/1.44)</f>
        <v>35.836074696893093</v>
      </c>
    </row>
    <row r="28" spans="2:10" x14ac:dyDescent="0.25">
      <c r="B28">
        <v>2.6</v>
      </c>
      <c r="C28" cm="1">
        <f t="array" ref="C28">(1/2*density*vcruise^3*cd0/B28 + kone*ncruise^2*B28/(1/2*density*vcruise) + ktwo*ncruise*vcruise)/etaprop</f>
        <v>7.6837607076823415</v>
      </c>
      <c r="D28">
        <f t="shared" si="0"/>
        <v>24.264089418378475</v>
      </c>
      <c r="E28">
        <f t="shared" si="1"/>
        <v>21.707143787073914</v>
      </c>
      <c r="F28">
        <f t="shared" si="2"/>
        <v>6.2674767117236909</v>
      </c>
      <c r="G28" cm="1">
        <f t="array" ref="G28">1.2^3/etaprop*(B28/(density*clmnf))^(1/2)*(B28/(32.2*density*slo) + cd0/2 + (0.02*clmnf)/1.44)</f>
        <v>37.924590660436643</v>
      </c>
    </row>
    <row r="29" spans="2:10" x14ac:dyDescent="0.25">
      <c r="B29">
        <v>2.7</v>
      </c>
      <c r="C29" cm="1">
        <f t="array" ref="C29">(1/2*density*vcruise^3*cd0/B29 + kone*ncruise^2*B29/(1/2*density*vcruise) + ktwo*ncruise*vcruise)/etaprop</f>
        <v>7.4926141757757243</v>
      </c>
      <c r="D29">
        <f t="shared" si="0"/>
        <v>24.345317467972038</v>
      </c>
      <c r="E29">
        <f t="shared" si="1"/>
        <v>22.454974285629604</v>
      </c>
      <c r="F29">
        <f t="shared" si="2"/>
        <v>6.2674767117236909</v>
      </c>
      <c r="G29" cm="1">
        <f t="array" ref="G29">1.2^3/etaprop*(B29/(density*clmnf))^(1/2)*(B29/(32.2*density*slo) + cd0/2 + (0.02*clmnf)/1.44)</f>
        <v>40.052116190153285</v>
      </c>
    </row>
    <row r="30" spans="2:10" x14ac:dyDescent="0.25">
      <c r="B30">
        <v>2.8</v>
      </c>
      <c r="C30" cm="1">
        <f t="array" ref="C30">(1/2*density*vcruise^3*cd0/B30 + kone*ncruise^2*B30/(1/2*density*vcruise) + ktwo*ncruise*vcruise)/etaprop</f>
        <v>7.3218904192136733</v>
      </c>
      <c r="D30">
        <f t="shared" si="0"/>
        <v>24.425054714576824</v>
      </c>
      <c r="E30">
        <f t="shared" si="1"/>
        <v>23.213261245161704</v>
      </c>
      <c r="F30">
        <f t="shared" si="2"/>
        <v>6.2674767117236909</v>
      </c>
      <c r="G30" cm="1">
        <f t="array" ref="G30">1.2^3/etaprop*(B30/(density*clmnf))^(1/2)*(B30/(32.2*density*slo) + cd0/2 + (0.02*clmnf)/1.44)</f>
        <v>42.217949738971861</v>
      </c>
    </row>
    <row r="31" spans="2:10" x14ac:dyDescent="0.25">
      <c r="B31">
        <v>2.9</v>
      </c>
      <c r="C31" cm="1">
        <f t="array" ref="C31">(1/2*density*vcruise^3*cd0/B31 + kone*ncruise^2*B31/(1/2*density*vcruise) + ktwo*ncruise*vcruise)/etaprop</f>
        <v>7.1694767370984742</v>
      </c>
      <c r="D31">
        <f t="shared" si="0"/>
        <v>24.503380347753705</v>
      </c>
      <c r="E31">
        <f t="shared" si="1"/>
        <v>23.980922962810595</v>
      </c>
      <c r="F31">
        <f t="shared" si="2"/>
        <v>6.2674767117236909</v>
      </c>
      <c r="G31" cm="1">
        <f t="array" ref="G31">1.2^3/etaprop*(B31/(density*clmnf))^(1/2)*(B31/(32.2*density*slo) + cd0/2 + (0.02*clmnf)/1.44)</f>
        <v>44.421426250826293</v>
      </c>
    </row>
    <row r="32" spans="2:10" x14ac:dyDescent="0.25">
      <c r="B32">
        <v>3</v>
      </c>
      <c r="C32" cm="1">
        <f t="array" ref="C32">(1/2*density*vcruise^3*cd0/B32 + kone*ncruise^2*B32/(1/2*density*vcruise) + ktwo*ncruise*vcruise)/etaprop</f>
        <v>7.0335421219854402</v>
      </c>
      <c r="D32">
        <f t="shared" si="0"/>
        <v>24.58036678510247</v>
      </c>
      <c r="E32">
        <f t="shared" si="1"/>
        <v>24.757021962764597</v>
      </c>
      <c r="F32">
        <f t="shared" si="2"/>
        <v>6.2674767117236909</v>
      </c>
      <c r="G32" cm="1">
        <f t="array" ref="G32">1.2^3/etaprop*(B32/(density*clmnf))^(1/2)*(B32/(32.2*density*slo) + cd0/2 + (0.02*clmnf)/1.44)</f>
        <v>46.661914107039607</v>
      </c>
    </row>
    <row r="33" spans="2:7" x14ac:dyDescent="0.25">
      <c r="B33">
        <v>3.1</v>
      </c>
      <c r="C33" cm="1">
        <f t="array" ref="C33">(1/2*density*vcruise^3*cd0/B33 + kone*ncruise^2*B33/(1/2*density*vcruise) + ktwo*ncruise*vcruise)/etaprop</f>
        <v>6.9124918254550067</v>
      </c>
      <c r="D33">
        <f t="shared" si="0"/>
        <v>24.656080456307169</v>
      </c>
      <c r="E33">
        <f t="shared" si="1"/>
        <v>25.540741733832892</v>
      </c>
      <c r="F33">
        <f t="shared" si="2"/>
        <v>6.2674767117236909</v>
      </c>
      <c r="G33" cm="1">
        <f t="array" ref="G33">1.2^3/etaprop*(B33/(density*clmnf))^(1/2)*(B33/(32.2*density*slo) + cd0/2 + (0.02*clmnf)/1.44)</f>
        <v>48.938812418419552</v>
      </c>
    </row>
    <row r="34" spans="2:7" x14ac:dyDescent="0.25">
      <c r="B34">
        <v>3.2</v>
      </c>
      <c r="C34" cm="1">
        <f t="array" ref="C34">(1/2*density*vcruise^3*cd0/B34 + kone*ncruise^2*B34/(1/2*density*vcruise) + ktwo*ncruise*vcruise)/etaprop</f>
        <v>6.8049304426400576</v>
      </c>
      <c r="D34">
        <f t="shared" si="0"/>
        <v>24.730582474192921</v>
      </c>
      <c r="E34">
        <f t="shared" si="1"/>
        <v>26.331367828723515</v>
      </c>
      <c r="F34">
        <f t="shared" si="2"/>
        <v>6.2674767117236909</v>
      </c>
      <c r="G34" cm="1">
        <f t="array" ref="G34">1.2^3/etaprop*(B34/(density*clmnf))^(1/2)*(B34/(32.2*density*slo) + cd0/2 + (0.02*clmnf)/1.44)</f>
        <v>51.25154861438444</v>
      </c>
    </row>
    <row r="35" spans="2:7" x14ac:dyDescent="0.25">
      <c r="B35">
        <v>3.3</v>
      </c>
      <c r="C35" cm="1">
        <f t="array" ref="C35">(1/2*density*vcruise^3*cd0/B35 + kone*ncruise^2*B35/(1/2*density*vcruise) + ktwo*ncruise*vcruise)/etaprop</f>
        <v>6.7096317086573665</v>
      </c>
      <c r="D35">
        <f t="shared" ref="D35:D52" si="3">1/0.75*(cddoublestar*(2/(density*cldoublestar))^(1/2)*(B35)^(1/2)/cldoublestar + climbrate)</f>
        <v>24.803929212080138</v>
      </c>
      <c r="E35">
        <f t="shared" ref="E35:E52" si="4">(1/2*density*vturn^3*cd0/B35 + kone*ncircle^2*B35/(1/2*density*vturn) + ktwo*ncircle*vturn)/etaprop</f>
        <v>27.12827239981625</v>
      </c>
      <c r="F35">
        <f t="shared" ref="F35:F53" si="5">density*32.2*sl*((cd0/2) + (clmnf/1.69)*(0.4))</f>
        <v>6.2674767117236909</v>
      </c>
      <c r="G35" cm="1">
        <f t="array" ref="G35">1.2^3/etaprop*(B35/(density*clmnf))^(1/2)*(B35/(32.2*density*slo) + cd0/2 + (0.02*clmnf)/1.44)</f>
        <v>53.599576288551759</v>
      </c>
    </row>
    <row r="36" spans="2:7" x14ac:dyDescent="0.25">
      <c r="B36">
        <v>3.4</v>
      </c>
      <c r="C36" cm="1">
        <f t="array" ref="C36">(1/2*density*vcruise^3*cd0/B36 + kone*ncruise^2*B36/(1/2*density*vcruise) + ktwo*ncruise*vcruise)/etaprop</f>
        <v>6.6255136250805569</v>
      </c>
      <c r="D36">
        <f t="shared" si="3"/>
        <v>24.87617280294829</v>
      </c>
      <c r="E36">
        <f t="shared" si="4"/>
        <v>27.930901463916797</v>
      </c>
      <c r="F36">
        <f t="shared" si="5"/>
        <v>6.2674767117236909</v>
      </c>
      <c r="G36" cm="1">
        <f t="array" ref="G36">1.2^3/etaprop*(B36/(density*clmnf))^(1/2)*(B36/(32.2*density*slo) + cd0/2 + (0.02*clmnf)/1.44)</f>
        <v>55.982373266785828</v>
      </c>
    </row>
    <row r="37" spans="2:7" x14ac:dyDescent="0.25">
      <c r="B37">
        <v>3.5</v>
      </c>
      <c r="C37" cm="1">
        <f t="array" ref="C37">(1/2*density*vcruise^3*cd0/B37 + kone*ncruise^2*B37/(1/2*density*vcruise) + ktwo*ncruise*vcruise)/etaprop</f>
        <v>6.5516178504462665</v>
      </c>
      <c r="D37">
        <f t="shared" si="3"/>
        <v>24.947361572974856</v>
      </c>
      <c r="E37">
        <f t="shared" si="4"/>
        <v>28.738764350195918</v>
      </c>
      <c r="F37">
        <f t="shared" si="5"/>
        <v>6.2674767117236909</v>
      </c>
      <c r="G37" cm="1">
        <f t="array" ref="G37">1.2^3/etaprop*(B37/(density*clmnf))^(1/2)*(B37/(32.2*density*slo) + cd0/2 + (0.02*clmnf)/1.44)</f>
        <v>58.399439869047093</v>
      </c>
    </row>
    <row r="38" spans="2:7" x14ac:dyDescent="0.25">
      <c r="B38">
        <v>3.6</v>
      </c>
      <c r="C38" cm="1">
        <f t="array" ref="C38">(1/2*density*vcruise^3*cd0/B38 + kone*ncruise^2*B38/(1/2*density*vcruise) + ktwo*ncruise*vcruise)/etaprop</f>
        <v>6.487092525675954</v>
      </c>
      <c r="D38">
        <f t="shared" si="3"/>
        <v>25.017540419696079</v>
      </c>
      <c r="E38">
        <f t="shared" si="4"/>
        <v>29.551424906805394</v>
      </c>
      <c r="F38">
        <f t="shared" si="5"/>
        <v>6.2674767117236909</v>
      </c>
      <c r="G38" cm="1">
        <f t="array" ref="G38">1.2^3/etaprop*(B38/(density*clmnf))^(1/2)*(B38/(32.2*density*slo) + cd0/2 + (0.02*clmnf)/1.44)</f>
        <v>60.850297340768087</v>
      </c>
    </row>
    <row r="39" spans="2:7" x14ac:dyDescent="0.25">
      <c r="B39">
        <v>3.7</v>
      </c>
      <c r="C39" cm="1">
        <f t="array" ref="C39">(1/2*density*vcruise^3*cd0/B39 + kone*ncruise^2*B39/(1/2*density*vcruise) + ktwo*ncruise*vcruise)/etaprop</f>
        <v>6.4311778845644332</v>
      </c>
      <c r="D39">
        <f t="shared" si="3"/>
        <v>25.08675114319735</v>
      </c>
      <c r="E39">
        <f t="shared" si="4"/>
        <v>30.36849413344817</v>
      </c>
      <c r="F39">
        <f t="shared" si="5"/>
        <v>6.2674767117236909</v>
      </c>
      <c r="G39" cm="1">
        <f t="array" ref="G39">1.2^3/etaprop*(B39/(density*clmnf))^(1/2)*(B39/(32.2*density*slo) + cd0/2 + (0.02*clmnf)/1.44)</f>
        <v>63.334486433092103</v>
      </c>
    </row>
    <row r="40" spans="2:7" x14ac:dyDescent="0.25">
      <c r="B40">
        <v>3.8</v>
      </c>
      <c r="C40" cm="1">
        <f t="array" ref="C40">(1/2*density*vcruise^3*cd0/B40 + kone*ncruise^2*B40/(1/2*density*vcruise) + ktwo*ncruise*vcruise)/etaprop</f>
        <v>6.383194136296531</v>
      </c>
      <c r="D40">
        <f t="shared" si="3"/>
        <v>25.15503273727289</v>
      </c>
      <c r="E40">
        <f t="shared" si="4"/>
        <v>31.189623977226873</v>
      </c>
      <c r="F40">
        <f t="shared" si="5"/>
        <v>6.2674767117236909</v>
      </c>
      <c r="G40" cm="1">
        <f t="array" ref="G40">1.2^3/etaprop*(B40/(density*clmnf))^(1/2)*(B40/(32.2*density*slo) + cd0/2 + (0.02*clmnf)/1.44)</f>
        <v>65.851566114306195</v>
      </c>
    </row>
    <row r="41" spans="2:7" x14ac:dyDescent="0.25">
      <c r="B41">
        <v>3.9</v>
      </c>
      <c r="C41" cm="1">
        <f t="array" ref="C41">(1/2*density*vcruise^3*cd0/B41 + kone*ncruise^2*B41/(1/2*density*vcruise) + ktwo*ncruise*vcruise)/etaprop</f>
        <v>6.3425312121919726</v>
      </c>
      <c r="D41">
        <f t="shared" si="3"/>
        <v>25.222421646314178</v>
      </c>
      <c r="E41">
        <f t="shared" si="4"/>
        <v>32.014502082977224</v>
      </c>
      <c r="F41">
        <f t="shared" si="5"/>
        <v>6.2674767117236909</v>
      </c>
      <c r="G41" cm="1">
        <f t="array" ref="G41">1.2^3/etaprop*(B41/(density*clmnf))^(1/2)*(B41/(32.2*density*slo) + cd0/2 + (0.02*clmnf)/1.44)</f>
        <v>68.401112397294341</v>
      </c>
    </row>
    <row r="42" spans="2:7" x14ac:dyDescent="0.25">
      <c r="B42">
        <v>4</v>
      </c>
      <c r="C42" cm="1">
        <f t="array" ref="C42">(1/2*density*vcruise^3*cd0/B42 + kone*ncruise^2*B42/(1/2*density*vcruise) + ktwo*ncruise*vcruise)/etaprop</f>
        <v>6.308640050438509</v>
      </c>
      <c r="D42">
        <f t="shared" si="3"/>
        <v>25.288951992732258</v>
      </c>
      <c r="E42">
        <f t="shared" si="4"/>
        <v>32.842847331051317</v>
      </c>
      <c r="F42">
        <f t="shared" si="5"/>
        <v>6.2674767117236909</v>
      </c>
      <c r="G42" cm="1">
        <f t="array" ref="G42">1.2^3/etaprop*(B42/(density*clmnf))^(1/2)*(B42/(32.2*density*slo) + cd0/2 + (0.02*clmnf)/1.44)</f>
        <v>70.982717269926795</v>
      </c>
    </row>
    <row r="43" spans="2:7" x14ac:dyDescent="0.25">
      <c r="B43">
        <v>4.0999999999999996</v>
      </c>
      <c r="C43" cm="1">
        <f t="array" ref="C43">(1/2*density*vcruise^3*cd0/B43 + kone*ncruise^2*B43/(1/2*density*vcruise) + ktwo*ncruise*vcruise)/etaprop</f>
        <v>6.2810251562299593</v>
      </c>
      <c r="D43">
        <f t="shared" si="3"/>
        <v>25.35465577894249</v>
      </c>
      <c r="E43">
        <f t="shared" si="4"/>
        <v>33.674406028108415</v>
      </c>
      <c r="F43">
        <f t="shared" si="5"/>
        <v>6.2674767117236909</v>
      </c>
      <c r="G43" cm="1">
        <f t="array" ref="G43">1.2^3/etaprop*(B43/(density*clmnf))^(1/2)*(B43/(32.2*density*slo) + cd0/2 + (0.02*clmnf)/1.44)</f>
        <v>73.595987717059131</v>
      </c>
    </row>
    <row r="44" spans="2:7" x14ac:dyDescent="0.25">
      <c r="B44">
        <v>4.2</v>
      </c>
      <c r="C44" cm="1">
        <f t="array" ref="C44">(1/2*density*vcruise^3*cd0/B44 + kone*ncruise^2*B44/(1/2*density*vcruise) + ktwo*ncruise*vcruise)/etaprop</f>
        <v>6.2592382247416873</v>
      </c>
      <c r="D44">
        <f t="shared" si="3"/>
        <v>25.419563067305138</v>
      </c>
      <c r="E44">
        <f t="shared" si="4"/>
        <v>34.508948642078295</v>
      </c>
      <c r="F44">
        <f t="shared" si="5"/>
        <v>6.2674767117236909</v>
      </c>
      <c r="G44" cm="1">
        <f t="array" ref="G44">1.2^3/etaprop*(B44/(density*clmnf))^(1/2)*(B44/(32.2*density*slo) + cd0/2 + (0.02*clmnf)/1.44)</f>
        <v>76.240544824300883</v>
      </c>
    </row>
    <row r="45" spans="2:7" x14ac:dyDescent="0.25">
      <c r="B45">
        <v>4.3</v>
      </c>
      <c r="C45" cm="1">
        <f t="array" ref="C45">(1/2*density*vcruise^3*cd0/B45 + kone*ncruise^2*B45/(1/2*density*vcruise) + ktwo*ncruise*vcruise)/etaprop</f>
        <v>6.2428726539234427</v>
      </c>
      <c r="D45">
        <f t="shared" si="3"/>
        <v>25.483702140892916</v>
      </c>
      <c r="E45">
        <f t="shared" si="4"/>
        <v>35.346266992711229</v>
      </c>
      <c r="F45">
        <f t="shared" si="5"/>
        <v>6.2674767117236909</v>
      </c>
      <c r="G45" cm="1">
        <f t="array" ref="G45">1.2^3/etaprop*(B45/(density*clmnf))^(1/2)*(B45/(32.2*density*slo) + cd0/2 + (0.02*clmnf)/1.44)</f>
        <v>78.91602295497394</v>
      </c>
    </row>
    <row r="46" spans="2:7" x14ac:dyDescent="0.25">
      <c r="B46">
        <v>4.4000000000000004</v>
      </c>
      <c r="C46" cm="1">
        <f t="array" ref="C46">(1/2*density*vcruise^3*cd0/B46 + kone*ncruise^2*B46/(1/2*density*vcruise) + ktwo*ncruise*vcruise)/etaprop</f>
        <v>6.2315588055477216</v>
      </c>
      <c r="D46">
        <f t="shared" si="3"/>
        <v>25.54709964752475</v>
      </c>
      <c r="E46">
        <f t="shared" si="4"/>
        <v>36.186171825234744</v>
      </c>
      <c r="F46">
        <f t="shared" si="5"/>
        <v>6.2674767117236909</v>
      </c>
      <c r="G46" cm="1">
        <f t="array" ref="G46">1.2^3/etaprop*(B46/(density*clmnf))^(1/2)*(B46/(32.2*density*slo) + cd0/2 + (0.02*clmnf)/1.44)</f>
        <v>81.622068992755999</v>
      </c>
    </row>
    <row r="47" spans="2:7" x14ac:dyDescent="0.25">
      <c r="B47">
        <v>4.5</v>
      </c>
      <c r="C47" cm="1">
        <f t="array" ref="C47">(1/2*density*vcruise^3*cd0/B47 + kone*ncruise^2*B47/(1/2*density*vcruise) + ktwo*ncruise*vcruise)/etaprop</f>
        <v>6.2249598981183603</v>
      </c>
      <c r="D47">
        <f t="shared" si="3"/>
        <v>25.609780729146628</v>
      </c>
      <c r="E47">
        <f t="shared" si="4"/>
        <v>37.028490707522785</v>
      </c>
      <c r="F47">
        <f t="shared" si="5"/>
        <v>6.2674767117236909</v>
      </c>
      <c r="G47" cm="1">
        <f t="array" ref="G47">1.2^3/etaprop*(B47/(density*clmnf))^(1/2)*(B47/(32.2*density*slo) + cd0/2 + (0.02*clmnf)/1.44)</f>
        <v>84.358341643422747</v>
      </c>
    </row>
    <row r="48" spans="2:7" x14ac:dyDescent="0.25">
      <c r="B48">
        <v>4.5999999999999996</v>
      </c>
      <c r="C48" cm="1">
        <f t="array" ref="C48">(1/2*density*vcruise^3*cd0/B48 + kone*ncruise^2*B48/(1/2*density*vcruise) + ktwo*ncruise*vcruise)/etaprop</f>
        <v>6.2227684354866755</v>
      </c>
      <c r="D48">
        <f t="shared" si="3"/>
        <v>25.671769138341279</v>
      </c>
      <c r="E48">
        <f t="shared" si="4"/>
        <v>37.873066201547225</v>
      </c>
      <c r="F48">
        <f t="shared" si="5"/>
        <v>6.2674767117236909</v>
      </c>
      <c r="G48" cm="1">
        <f t="array" ref="G48">1.2^3/etaprop*(B48/(density*clmnf))^(1/2)*(B48/(32.2*density*slo) + cd0/2 + (0.02*clmnf)/1.44)</f>
        <v>87.124510789892483</v>
      </c>
    </row>
    <row r="49" spans="2:7" x14ac:dyDescent="0.25">
      <c r="B49">
        <v>4.7</v>
      </c>
      <c r="C49" cm="1">
        <f t="array" ref="C49">(1/2*density*vcruise^3*cd0/B49 + kone*ncruise^2*B49/(1/2*density*vcruise) + ktwo*ncruise*vcruise)/etaprop</f>
        <v>6.2247030913889922</v>
      </c>
      <c r="D49">
        <f t="shared" si="3"/>
        <v>25.733087343497932</v>
      </c>
      <c r="E49">
        <f t="shared" si="4"/>
        <v>38.719754268261092</v>
      </c>
      <c r="F49">
        <f t="shared" si="5"/>
        <v>6.2674767117236909</v>
      </c>
      <c r="G49" cm="1">
        <f t="array" ref="G49">1.2^3/etaprop*(B49/(density*clmnf))^(1/2)*(B49/(32.2*density*slo) + cd0/2 + (0.02*clmnf)/1.44)</f>
        <v>89.920256895455267</v>
      </c>
    </row>
    <row r="50" spans="2:7" x14ac:dyDescent="0.25">
      <c r="B50">
        <v>4.8</v>
      </c>
      <c r="C50" cm="1">
        <f t="array" ref="C50">(1/2*density*vcruise^3*cd0/B50 + kone*ncruise^2*B50/(1/2*density*vcruise) + ktwo*ncruise*vcruise)/etaprop</f>
        <v>6.2305059834169318</v>
      </c>
      <c r="D50">
        <f t="shared" si="3"/>
        <v>25.793756623962715</v>
      </c>
      <c r="E50">
        <f t="shared" si="4"/>
        <v>39.56842287187127</v>
      </c>
      <c r="F50">
        <f t="shared" si="5"/>
        <v>6.2674767117236909</v>
      </c>
      <c r="G50" cm="1">
        <f t="array" ref="G50">1.2^3/etaprop*(B50/(density*clmnf))^(1/2)*(B50/(32.2*density*slo) + cd0/2 + (0.02*clmnf)/1.44)</f>
        <v>92.745270450657657</v>
      </c>
    </row>
    <row r="51" spans="2:7" x14ac:dyDescent="0.25">
      <c r="B51">
        <v>4.9000000000000004</v>
      </c>
      <c r="C51" cm="1">
        <f t="array" ref="C51">(1/2*density*vcruise^3*cd0/B51 + kone*ncruise^2*B51/(1/2*density*vcruise) + ktwo*ncruise*vcruise)/etaprop</f>
        <v>6.2399402807872955</v>
      </c>
      <c r="D51">
        <f t="shared" si="3"/>
        <v>25.853797156312091</v>
      </c>
      <c r="E51">
        <f t="shared" si="4"/>
        <v>40.418950755016773</v>
      </c>
      <c r="F51">
        <f t="shared" si="5"/>
        <v>6.2674767117236909</v>
      </c>
      <c r="G51" cm="1">
        <f t="array" ref="G51">1.2^3/etaprop*(B51/(density*clmnf))^(1/2)*(B51/(32.2*density*slo) + cd0/2 + (0.02*clmnf)/1.44)</f>
        <v>95.599251459822923</v>
      </c>
    </row>
    <row r="52" spans="2:7" x14ac:dyDescent="0.25">
      <c r="B52">
        <v>5</v>
      </c>
      <c r="C52" cm="1">
        <f t="array" ref="C52">(1/2*density*vcruise^3*cd0/B52 + kone*ncruise^2*B52/(1/2*density*vcruise) + ktwo*ncruise*vcruise)/etaprop</f>
        <v>6.2527880991795355</v>
      </c>
      <c r="D52">
        <f t="shared" si="3"/>
        <v>25.913228092741157</v>
      </c>
      <c r="E52">
        <f t="shared" si="4"/>
        <v>41.271226360925475</v>
      </c>
      <c r="F52">
        <f t="shared" si="5"/>
        <v>6.2674767117236909</v>
      </c>
      <c r="G52" cm="1">
        <f t="array" ref="G52">1.2^3/etaprop*(B52/(density*clmnf))^(1/2)*(B52/(32.2*density*slo) + cd0/2 + (0.02*clmnf)/1.44)</f>
        <v>98.481908963629479</v>
      </c>
    </row>
    <row r="53" spans="2:7" x14ac:dyDescent="0.25">
      <c r="B53">
        <v>150</v>
      </c>
      <c r="F53">
        <f t="shared" si="5"/>
        <v>6.2674767117236909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54AF5-73CB-413A-A3BD-704B9B845D5A}">
  <dimension ref="A1:C13"/>
  <sheetViews>
    <sheetView workbookViewId="0">
      <selection activeCell="G32" sqref="G32"/>
    </sheetView>
  </sheetViews>
  <sheetFormatPr defaultRowHeight="13.2" x14ac:dyDescent="0.25"/>
  <cols>
    <col min="1" max="1" width="16.6640625" bestFit="1" customWidth="1"/>
    <col min="2" max="2" width="12" bestFit="1" customWidth="1"/>
  </cols>
  <sheetData>
    <row r="1" spans="1:3" x14ac:dyDescent="0.25">
      <c r="A1" s="10" t="s">
        <v>89</v>
      </c>
      <c r="B1">
        <f>(1.2^2*wingload/(density*g*clmnf) + 1.2^2*cd0*slo/(2*clmnf) + mu*slo)/(etaprop*cbatt)</f>
        <v>5.5835356810110342E-4</v>
      </c>
    </row>
    <row r="3" spans="1:3" x14ac:dyDescent="0.25">
      <c r="A3" s="10" t="s">
        <v>90</v>
      </c>
      <c r="B3" cm="1">
        <f t="array" ref="B3">dh*powerload/(cbatt*(etaprop*powerload - cddoublestar*(2*wingload/density)^0.5/cldoublestar^(3/2)))</f>
        <v>1.3543053072604557E-4</v>
      </c>
    </row>
    <row r="5" spans="1:3" x14ac:dyDescent="0.25">
      <c r="A5" s="10" t="s">
        <v>91</v>
      </c>
      <c r="B5" s="5">
        <f>laplength*cdstar/(clstar*etaprop*cbatt)</f>
        <v>1.0386399086508365E-3</v>
      </c>
      <c r="C5" s="5"/>
    </row>
    <row r="6" spans="1:3" x14ac:dyDescent="0.25">
      <c r="A6" s="5"/>
    </row>
    <row r="7" spans="1:3" x14ac:dyDescent="0.25">
      <c r="A7" s="5"/>
    </row>
    <row r="8" spans="1:3" x14ac:dyDescent="0.25">
      <c r="A8" s="10" t="s">
        <v>92</v>
      </c>
      <c r="B8">
        <f>SUM(B5+B3+B1)</f>
        <v>1.7324240074779854E-3</v>
      </c>
    </row>
    <row r="10" spans="1:3" x14ac:dyDescent="0.25">
      <c r="A10" s="5" t="s">
        <v>93</v>
      </c>
      <c r="B10" s="5">
        <f>4.2-(B8*4.2)</f>
        <v>4.1927238191685925</v>
      </c>
    </row>
    <row r="11" spans="1:3" x14ac:dyDescent="0.25">
      <c r="A11" s="5" t="s">
        <v>94</v>
      </c>
      <c r="B11" s="5">
        <v>3.8</v>
      </c>
    </row>
    <row r="12" spans="1:3" x14ac:dyDescent="0.25">
      <c r="A12" s="5" t="s">
        <v>95</v>
      </c>
      <c r="B12">
        <f>4.2-B10</f>
        <v>7.2761808314076859E-3</v>
      </c>
    </row>
    <row r="13" spans="1:3" x14ac:dyDescent="0.25">
      <c r="A13" s="10" t="s">
        <v>96</v>
      </c>
      <c r="B13" s="10">
        <f>100-100*(0.4-B12)/0.4</f>
        <v>1.8190452078519286</v>
      </c>
      <c r="C13" s="10" t="s">
        <v>97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41F0B-6579-4FFC-A97E-0D4F430B07F0}">
  <dimension ref="A1:D38"/>
  <sheetViews>
    <sheetView workbookViewId="0">
      <selection activeCell="A38" sqref="A38"/>
    </sheetView>
  </sheetViews>
  <sheetFormatPr defaultRowHeight="13.2" x14ac:dyDescent="0.25"/>
  <cols>
    <col min="1" max="1" width="14.6640625" bestFit="1" customWidth="1"/>
    <col min="2" max="2" width="8.109375" bestFit="1" customWidth="1"/>
    <col min="3" max="3" width="6.5546875" bestFit="1" customWidth="1"/>
  </cols>
  <sheetData>
    <row r="1" spans="1:4" x14ac:dyDescent="0.25">
      <c r="A1" s="10" t="s">
        <v>120</v>
      </c>
      <c r="B1">
        <v>3000</v>
      </c>
      <c r="C1" s="5" t="s">
        <v>5</v>
      </c>
    </row>
    <row r="2" spans="1:4" x14ac:dyDescent="0.25">
      <c r="B2" s="5"/>
      <c r="C2" s="5"/>
    </row>
    <row r="3" spans="1:4" x14ac:dyDescent="0.25">
      <c r="A3" s="10" t="s">
        <v>170</v>
      </c>
      <c r="B3" s="5">
        <v>2.2000000000000001E-3</v>
      </c>
      <c r="C3" s="5" t="s">
        <v>121</v>
      </c>
    </row>
    <row r="6" spans="1:4" x14ac:dyDescent="0.25">
      <c r="A6" s="10" t="s">
        <v>123</v>
      </c>
      <c r="B6">
        <v>88</v>
      </c>
      <c r="C6" s="5" t="s">
        <v>124</v>
      </c>
    </row>
    <row r="8" spans="1:4" x14ac:dyDescent="0.25">
      <c r="A8" s="10" t="s">
        <v>125</v>
      </c>
      <c r="B8">
        <v>1</v>
      </c>
      <c r="C8" s="5" t="s">
        <v>126</v>
      </c>
    </row>
    <row r="9" spans="1:4" x14ac:dyDescent="0.25">
      <c r="A9" s="10"/>
      <c r="C9" s="5"/>
    </row>
    <row r="10" spans="1:4" x14ac:dyDescent="0.25">
      <c r="A10" s="10" t="s">
        <v>127</v>
      </c>
      <c r="B10">
        <f>0.8*vcruise</f>
        <v>70.400000000000006</v>
      </c>
      <c r="C10" s="5" t="s">
        <v>124</v>
      </c>
      <c r="D10" s="5" t="s">
        <v>128</v>
      </c>
    </row>
    <row r="11" spans="1:4" x14ac:dyDescent="0.25">
      <c r="A11" s="10" t="s">
        <v>129</v>
      </c>
      <c r="B11">
        <v>5</v>
      </c>
      <c r="C11" s="5" t="s">
        <v>130</v>
      </c>
    </row>
    <row r="12" spans="1:4" x14ac:dyDescent="0.25">
      <c r="A12" s="10" t="s">
        <v>131</v>
      </c>
      <c r="B12">
        <f>vturn*tturn/(2*PI())</f>
        <v>56.022539968347161</v>
      </c>
      <c r="C12" s="5" t="s">
        <v>5</v>
      </c>
    </row>
    <row r="13" spans="1:4" s="5" customFormat="1" x14ac:dyDescent="0.25">
      <c r="A13" s="10" t="s">
        <v>132</v>
      </c>
      <c r="B13" s="5">
        <f>2*PI()/tturn</f>
        <v>1.2566370614359172</v>
      </c>
      <c r="C13" s="5" t="s">
        <v>133</v>
      </c>
    </row>
    <row r="14" spans="1:4" x14ac:dyDescent="0.25">
      <c r="A14" s="10" t="s">
        <v>134</v>
      </c>
      <c r="B14" cm="1">
        <f t="array" ref="B14">omegaturn^2*rturn/32.2</f>
        <v>2.7474300970524399</v>
      </c>
      <c r="C14" s="5" t="s">
        <v>126</v>
      </c>
    </row>
    <row r="15" spans="1:4" x14ac:dyDescent="0.25">
      <c r="A15" s="10"/>
      <c r="C15" s="5"/>
    </row>
    <row r="16" spans="1:4" x14ac:dyDescent="0.25">
      <c r="A16" s="10" t="s">
        <v>135</v>
      </c>
      <c r="B16">
        <v>0.75</v>
      </c>
      <c r="C16" s="5" t="s">
        <v>97</v>
      </c>
    </row>
    <row r="18" spans="1:3" x14ac:dyDescent="0.25">
      <c r="A18" s="10" t="s">
        <v>79</v>
      </c>
      <c r="B18" s="5">
        <v>15</v>
      </c>
      <c r="C18" s="5" t="s">
        <v>124</v>
      </c>
    </row>
    <row r="20" spans="1:3" x14ac:dyDescent="0.25">
      <c r="A20" s="10" t="s">
        <v>136</v>
      </c>
      <c r="B20" s="5">
        <v>200</v>
      </c>
      <c r="C20" s="5" t="s">
        <v>5</v>
      </c>
    </row>
    <row r="22" spans="1:3" x14ac:dyDescent="0.25">
      <c r="A22" s="10" t="s">
        <v>137</v>
      </c>
      <c r="B22">
        <v>60</v>
      </c>
      <c r="C22" s="5" t="s">
        <v>5</v>
      </c>
    </row>
    <row r="24" spans="1:3" x14ac:dyDescent="0.25">
      <c r="A24" s="10" t="s">
        <v>98</v>
      </c>
      <c r="B24">
        <v>1.3</v>
      </c>
      <c r="C24" s="5" t="s">
        <v>138</v>
      </c>
    </row>
    <row r="26" spans="1:3" x14ac:dyDescent="0.25">
      <c r="A26" s="10" t="s">
        <v>139</v>
      </c>
      <c r="B26">
        <v>0.33</v>
      </c>
      <c r="C26" s="5" t="s">
        <v>138</v>
      </c>
    </row>
    <row r="28" spans="1:3" x14ac:dyDescent="0.25">
      <c r="A28" s="10" t="s">
        <v>140</v>
      </c>
      <c r="B28">
        <v>0.25</v>
      </c>
      <c r="C28" s="5" t="s">
        <v>138</v>
      </c>
    </row>
    <row r="30" spans="1:3" x14ac:dyDescent="0.25">
      <c r="A30" s="10" t="s">
        <v>141</v>
      </c>
      <c r="B30">
        <v>0.3</v>
      </c>
    </row>
    <row r="32" spans="1:3" x14ac:dyDescent="0.25">
      <c r="A32" s="10" t="s">
        <v>126</v>
      </c>
      <c r="B32">
        <v>9.81</v>
      </c>
    </row>
    <row r="34" spans="1:2" x14ac:dyDescent="0.25">
      <c r="A34" s="10" t="s">
        <v>142</v>
      </c>
      <c r="B34">
        <v>204247.69200000001</v>
      </c>
    </row>
    <row r="36" spans="1:2" x14ac:dyDescent="0.25">
      <c r="A36" s="10" t="s">
        <v>143</v>
      </c>
      <c r="B36">
        <v>0.2</v>
      </c>
    </row>
    <row r="38" spans="1:2" x14ac:dyDescent="0.25">
      <c r="A38" s="10" t="s">
        <v>144</v>
      </c>
      <c r="B38">
        <v>20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AA227-3200-404E-B204-DDFA7F729FAD}">
  <dimension ref="A1:J28"/>
  <sheetViews>
    <sheetView workbookViewId="0">
      <selection activeCell="F10" sqref="F10"/>
    </sheetView>
  </sheetViews>
  <sheetFormatPr defaultRowHeight="13.2" x14ac:dyDescent="0.25"/>
  <sheetData>
    <row r="1" spans="1:8" ht="13.8" x14ac:dyDescent="0.25">
      <c r="A1" s="12" t="s">
        <v>98</v>
      </c>
      <c r="H1" s="12"/>
    </row>
    <row r="2" spans="1:8" x14ac:dyDescent="0.25">
      <c r="A2" s="10" t="s">
        <v>99</v>
      </c>
      <c r="B2" s="11">
        <f>(21.6/16)/S</f>
        <v>0.27</v>
      </c>
      <c r="D2" t="s">
        <v>166</v>
      </c>
      <c r="H2" s="10"/>
    </row>
    <row r="4" spans="1:8" ht="13.8" x14ac:dyDescent="0.25">
      <c r="A4" s="12" t="s">
        <v>100</v>
      </c>
      <c r="H4" s="12"/>
    </row>
    <row r="5" spans="1:8" ht="13.8" x14ac:dyDescent="0.25">
      <c r="A5" s="12" t="s">
        <v>101</v>
      </c>
      <c r="B5">
        <f>wwings+(C9+D9)/2</f>
        <v>0.90922846015636571</v>
      </c>
      <c r="C5">
        <f>wwings+whts+wvts+wfls</f>
        <v>0.69939442031273125</v>
      </c>
      <c r="D5">
        <f>(26.2+46.02)/(16*4)</f>
        <v>1.1284375</v>
      </c>
      <c r="H5" s="12"/>
    </row>
    <row r="6" spans="1:8" x14ac:dyDescent="0.25">
      <c r="A6" s="10" t="s">
        <v>102</v>
      </c>
      <c r="B6" s="11">
        <v>0.4</v>
      </c>
      <c r="C6" s="5"/>
      <c r="D6" t="s">
        <v>165</v>
      </c>
      <c r="F6" s="5"/>
      <c r="H6" s="10"/>
    </row>
    <row r="7" spans="1:8" x14ac:dyDescent="0.25">
      <c r="A7" s="10" t="s">
        <v>103</v>
      </c>
      <c r="B7">
        <f>0.2*shts</f>
        <v>4.0000000000000008E-2</v>
      </c>
      <c r="D7">
        <f>55.3-(weightesc*16)-(weightmotor*16)</f>
        <v>46.019999999999996</v>
      </c>
      <c r="E7" t="s">
        <v>164</v>
      </c>
      <c r="H7" s="10"/>
    </row>
    <row r="8" spans="1:8" x14ac:dyDescent="0.25">
      <c r="A8" s="10" t="s">
        <v>104</v>
      </c>
      <c r="B8">
        <f>0.2*svts</f>
        <v>1.3573385518591E-2</v>
      </c>
      <c r="H8" s="10"/>
    </row>
    <row r="9" spans="1:8" x14ac:dyDescent="0.25">
      <c r="A9" s="10" t="s">
        <v>105</v>
      </c>
      <c r="B9">
        <f>0.15*(lfuse*dfuse*PI()+2*PI()*(dfuse^2)/4)/S</f>
        <v>0.24582103479414016</v>
      </c>
      <c r="C9">
        <f>wfls+wvts+whts</f>
        <v>0.29939442031273122</v>
      </c>
      <c r="D9">
        <f>46.02/16/4</f>
        <v>0.71906250000000005</v>
      </c>
      <c r="H9" s="10"/>
    </row>
    <row r="11" spans="1:8" ht="15.6" x14ac:dyDescent="0.3">
      <c r="A11" s="13" t="s">
        <v>106</v>
      </c>
      <c r="H11" s="13"/>
    </row>
    <row r="12" spans="1:8" x14ac:dyDescent="0.25">
      <c r="A12" s="10" t="s">
        <v>107</v>
      </c>
      <c r="B12" s="11" cm="1">
        <f t="array" ref="B12">(weightmotor+weightesc)/S</f>
        <v>0.11600000000000002</v>
      </c>
      <c r="D12" t="s">
        <v>162</v>
      </c>
      <c r="H12" s="10"/>
    </row>
    <row r="14" spans="1:8" ht="15.6" x14ac:dyDescent="0.3">
      <c r="A14" s="13" t="s">
        <v>108</v>
      </c>
    </row>
    <row r="15" spans="1:8" ht="13.8" x14ac:dyDescent="0.25">
      <c r="A15" s="12" t="s">
        <v>109</v>
      </c>
      <c r="B15" s="11">
        <f>(10/16)/S</f>
        <v>0.125</v>
      </c>
      <c r="C15" s="5"/>
      <c r="D15" t="s">
        <v>163</v>
      </c>
    </row>
    <row r="16" spans="1:8" ht="13.8" x14ac:dyDescent="0.25">
      <c r="A16" s="12"/>
    </row>
    <row r="17" spans="1:10" ht="15.6" x14ac:dyDescent="0.3">
      <c r="A17" s="13" t="s">
        <v>110</v>
      </c>
      <c r="H17" s="13"/>
    </row>
    <row r="18" spans="1:10" x14ac:dyDescent="0.25">
      <c r="A18" s="10" t="s">
        <v>111</v>
      </c>
      <c r="B18">
        <f>0.18*wingload</f>
        <v>0.36</v>
      </c>
      <c r="H18" s="10"/>
    </row>
    <row r="20" spans="1:10" ht="15.6" x14ac:dyDescent="0.3">
      <c r="A20" s="13" t="s">
        <v>112</v>
      </c>
      <c r="H20" s="13"/>
    </row>
    <row r="21" spans="1:10" x14ac:dyDescent="0.25">
      <c r="A21" s="10" t="s">
        <v>113</v>
      </c>
      <c r="B21" s="11">
        <f>payloadpercent*wingload</f>
        <v>0.6</v>
      </c>
      <c r="H21" s="10"/>
    </row>
    <row r="22" spans="1:10" x14ac:dyDescent="0.25">
      <c r="J22" s="5"/>
    </row>
    <row r="23" spans="1:10" ht="15.6" x14ac:dyDescent="0.3">
      <c r="A23" s="13" t="s">
        <v>114</v>
      </c>
      <c r="H23" s="13"/>
    </row>
    <row r="24" spans="1:10" x14ac:dyDescent="0.25">
      <c r="A24" s="10" t="s">
        <v>115</v>
      </c>
      <c r="B24" cm="1">
        <f t="array" ref="B24">wpays/(wingload-wbatts-wstructs-wengs-wsyss)</f>
        <v>1.740282855922854</v>
      </c>
      <c r="C24" s="5" t="s">
        <v>122</v>
      </c>
      <c r="H24" s="10"/>
    </row>
    <row r="25" spans="1:10" x14ac:dyDescent="0.25">
      <c r="A25" s="10" t="s">
        <v>116</v>
      </c>
      <c r="B25">
        <f>wingload*S</f>
        <v>10</v>
      </c>
      <c r="C25" s="5" t="s">
        <v>138</v>
      </c>
      <c r="H25" s="10"/>
    </row>
    <row r="26" spans="1:10" x14ac:dyDescent="0.25">
      <c r="A26" s="10" t="s">
        <v>117</v>
      </c>
      <c r="B26">
        <f>(wingload-wbatts-wstructs-wengs-wsyss-wlands-wpays)</f>
        <v>-0.38022846015636569</v>
      </c>
      <c r="C26" s="5" t="s">
        <v>172</v>
      </c>
      <c r="D26" s="5" t="s">
        <v>171</v>
      </c>
      <c r="H26" s="10"/>
    </row>
    <row r="27" spans="1:10" x14ac:dyDescent="0.25">
      <c r="A27" s="10" t="s">
        <v>118</v>
      </c>
      <c r="B27">
        <f>ABS(((S-projS)/S)*100)</f>
        <v>65.194342881542923</v>
      </c>
      <c r="D27" s="5"/>
      <c r="H27" s="10"/>
    </row>
    <row r="28" spans="1:10" x14ac:dyDescent="0.25">
      <c r="A28" s="10" t="s">
        <v>119</v>
      </c>
      <c r="B28">
        <f>(B25*16)/(S^1.5)</f>
        <v>14.310835055998657</v>
      </c>
      <c r="C28" s="5" t="s">
        <v>173</v>
      </c>
      <c r="D28" s="5" t="s">
        <v>174</v>
      </c>
    </row>
  </sheetData>
  <pageMargins left="0.7" right="0.7" top="0.75" bottom="0.75" header="0.3" footer="0.3"/>
  <pageSetup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9369F-E1FC-4440-BF1F-E7269CECD71B}">
  <dimension ref="A1:F10"/>
  <sheetViews>
    <sheetView workbookViewId="0">
      <selection activeCell="C21" sqref="C21"/>
    </sheetView>
  </sheetViews>
  <sheetFormatPr defaultRowHeight="13.2" x14ac:dyDescent="0.25"/>
  <sheetData>
    <row r="1" spans="1:6" x14ac:dyDescent="0.25">
      <c r="A1" s="10" t="s">
        <v>152</v>
      </c>
      <c r="E1" s="10" t="s">
        <v>157</v>
      </c>
    </row>
    <row r="2" spans="1:6" x14ac:dyDescent="0.25">
      <c r="A2" s="5" t="s">
        <v>145</v>
      </c>
      <c r="B2">
        <f>b*(1+2*taper)/(6*(1+taper))*TAN(RADIANS(lesweep))+0.25*mac</f>
        <v>0.57590869675595757</v>
      </c>
      <c r="E2" s="5" t="s">
        <v>158</v>
      </c>
      <c r="F2" cm="1">
        <f t="array" ref="F2">2/(2-artail+SQRT(4+artail^2*(1+(TAN(RADIANS(lambdamaxtht))^2))))</f>
        <v>0.7675918792439983</v>
      </c>
    </row>
    <row r="3" spans="1:6" x14ac:dyDescent="0.25">
      <c r="A3" s="5" t="s">
        <v>146</v>
      </c>
      <c r="B3" s="14">
        <f>xac/mac</f>
        <v>0.62439476202704813</v>
      </c>
      <c r="E3" s="5" t="s">
        <v>159</v>
      </c>
      <c r="F3">
        <f>a0/(1+(57.3*a0)/(etail*PI()*artail))</f>
        <v>5.8497247259640325E-2</v>
      </c>
    </row>
    <row r="4" spans="1:6" x14ac:dyDescent="0.25">
      <c r="A4" s="5" t="s">
        <v>147</v>
      </c>
      <c r="B4">
        <f>cr*(1+taper)/2</f>
        <v>0.9128709291752769</v>
      </c>
    </row>
    <row r="5" spans="1:6" x14ac:dyDescent="0.25">
      <c r="A5" s="5" t="s">
        <v>148</v>
      </c>
      <c r="B5">
        <f>21*awing/ar^0.725*(cavg/lh)^0.25*((10-3*taper)/7)</f>
        <v>0.35758917994887796</v>
      </c>
    </row>
    <row r="6" spans="1:6" x14ac:dyDescent="0.25">
      <c r="A6" s="5" t="s">
        <v>150</v>
      </c>
      <c r="B6">
        <f>(atail/awing)*(1-deda)*shts</f>
        <v>9.7076797617278512E-2</v>
      </c>
    </row>
    <row r="7" spans="1:6" x14ac:dyDescent="0.25">
      <c r="A7" s="5" t="s">
        <v>153</v>
      </c>
      <c r="B7" cm="1">
        <f t="array" ref="B7">(A/(1+A))*lh+xac</f>
        <v>0.88604770478530515</v>
      </c>
    </row>
    <row r="8" spans="1:6" x14ac:dyDescent="0.25">
      <c r="A8" s="5" t="s">
        <v>154</v>
      </c>
      <c r="B8" s="11">
        <v>-0.2</v>
      </c>
    </row>
    <row r="9" spans="1:6" x14ac:dyDescent="0.25">
      <c r="A9" s="5" t="s">
        <v>155</v>
      </c>
      <c r="B9">
        <f>xn+SM*mac</f>
        <v>0.70157828518725607</v>
      </c>
      <c r="C9" t="s">
        <v>5</v>
      </c>
      <c r="D9">
        <f>xcg*12</f>
        <v>8.4189394222470728</v>
      </c>
      <c r="E9" t="s">
        <v>160</v>
      </c>
    </row>
    <row r="10" spans="1:6" x14ac:dyDescent="0.25">
      <c r="A10" s="5" t="s">
        <v>156</v>
      </c>
      <c r="B10">
        <f>xcg/mac</f>
        <v>0.76064454121009883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1995c8a-92f3-4427-a8d6-979f0855bdb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01B2B327984054F99C2804C147B3530" ma:contentTypeVersion="12" ma:contentTypeDescription="Create a new document." ma:contentTypeScope="" ma:versionID="09d56b6324d15faa3808df88c06a6bf1">
  <xsd:schema xmlns:xsd="http://www.w3.org/2001/XMLSchema" xmlns:xs="http://www.w3.org/2001/XMLSchema" xmlns:p="http://schemas.microsoft.com/office/2006/metadata/properties" xmlns:ns2="71995c8a-92f3-4427-a8d6-979f0855bdb5" xmlns:ns3="623b502b-a5c8-4dfc-b622-d358fe25999a" targetNamespace="http://schemas.microsoft.com/office/2006/metadata/properties" ma:root="true" ma:fieldsID="1e876c8bd527457fbacb87ffe38dbf44" ns2:_="" ns3:_="">
    <xsd:import namespace="71995c8a-92f3-4427-a8d6-979f0855bdb5"/>
    <xsd:import namespace="623b502b-a5c8-4dfc-b622-d358fe2599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995c8a-92f3-4427-a8d6-979f0855bd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71a83542-6b13-4414-947d-2211b265f7b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2" nillable="true" ma:displayName="MediaServiceDateTaken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3b502b-a5c8-4dfc-b622-d358fe25999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D76D71-36E6-42C1-873B-E852A8900BC5}">
  <ds:schemaRefs>
    <ds:schemaRef ds:uri="http://schemas.microsoft.com/office/2006/metadata/properties"/>
    <ds:schemaRef ds:uri="http://www.w3.org/2000/xmlns/"/>
    <ds:schemaRef ds:uri="71995c8a-92f3-4427-a8d6-979f0855bdb5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269D8E9-FAFC-4078-916B-3F2D6D7EA1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2F9D59-9F95-4668-B4C1-BB5B3CEA24FF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71995c8a-92f3-4427-a8d6-979f0855bdb5"/>
    <ds:schemaRef ds:uri="623b502b-a5c8-4dfc-b622-d358fe25999a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89</vt:i4>
      </vt:variant>
    </vt:vector>
  </HeadingPairs>
  <TitlesOfParts>
    <vt:vector size="96" baseType="lpstr">
      <vt:lpstr>Geometry</vt:lpstr>
      <vt:lpstr>Aero Anlys</vt:lpstr>
      <vt:lpstr>Constraint Analysis</vt:lpstr>
      <vt:lpstr>Mission</vt:lpstr>
      <vt:lpstr>Desired Criteria</vt:lpstr>
      <vt:lpstr>Sizing</vt:lpstr>
      <vt:lpstr>Stability</vt:lpstr>
      <vt:lpstr>A</vt:lpstr>
      <vt:lpstr>a0</vt:lpstr>
      <vt:lpstr>acraft</vt:lpstr>
      <vt:lpstr>al0</vt:lpstr>
      <vt:lpstr>ar</vt:lpstr>
      <vt:lpstr>arr</vt:lpstr>
      <vt:lpstr>artail</vt:lpstr>
      <vt:lpstr>at</vt:lpstr>
      <vt:lpstr>atail</vt:lpstr>
      <vt:lpstr>awing</vt:lpstr>
      <vt:lpstr>b</vt:lpstr>
      <vt:lpstr>cavg</vt:lpstr>
      <vt:lpstr>cbatt</vt:lpstr>
      <vt:lpstr>cd0</vt:lpstr>
      <vt:lpstr>cddoublestar</vt:lpstr>
      <vt:lpstr>cddoublestarant</vt:lpstr>
      <vt:lpstr>cdstar</vt:lpstr>
      <vt:lpstr>cdstarant</vt:lpstr>
      <vt:lpstr>cfe</vt:lpstr>
      <vt:lpstr>cldoublestar</vt:lpstr>
      <vt:lpstr>climbrate</vt:lpstr>
      <vt:lpstr>clmind</vt:lpstr>
      <vt:lpstr>clmnf</vt:lpstr>
      <vt:lpstr>clstar</vt:lpstr>
      <vt:lpstr>cr</vt:lpstr>
      <vt:lpstr>ct</vt:lpstr>
      <vt:lpstr>deda</vt:lpstr>
      <vt:lpstr>density</vt:lpstr>
      <vt:lpstr>dfuse</vt:lpstr>
      <vt:lpstr>dh</vt:lpstr>
      <vt:lpstr>dsda</vt:lpstr>
      <vt:lpstr>dtail</vt:lpstr>
      <vt:lpstr>e</vt:lpstr>
      <vt:lpstr>etail</vt:lpstr>
      <vt:lpstr>etaprop</vt:lpstr>
      <vt:lpstr>g</vt:lpstr>
      <vt:lpstr>kone</vt:lpstr>
      <vt:lpstr>ktwo</vt:lpstr>
      <vt:lpstr>lambdamaxtht</vt:lpstr>
      <vt:lpstr>laplength</vt:lpstr>
      <vt:lpstr>lesweep</vt:lpstr>
      <vt:lpstr>lfuse</vt:lpstr>
      <vt:lpstr>lh</vt:lpstr>
      <vt:lpstr>lt</vt:lpstr>
      <vt:lpstr>mac</vt:lpstr>
      <vt:lpstr>mgc</vt:lpstr>
      <vt:lpstr>mu</vt:lpstr>
      <vt:lpstr>ncircle</vt:lpstr>
      <vt:lpstr>ncruise</vt:lpstr>
      <vt:lpstr>omegaturn</vt:lpstr>
      <vt:lpstr>payloadpercent</vt:lpstr>
      <vt:lpstr>powerload</vt:lpstr>
      <vt:lpstr>projS</vt:lpstr>
      <vt:lpstr>rturn</vt:lpstr>
      <vt:lpstr>S</vt:lpstr>
      <vt:lpstr>shts</vt:lpstr>
      <vt:lpstr>sl</vt:lpstr>
      <vt:lpstr>slo</vt:lpstr>
      <vt:lpstr>SM</vt:lpstr>
      <vt:lpstr>svts</vt:lpstr>
      <vt:lpstr>swets</vt:lpstr>
      <vt:lpstr>Ta</vt:lpstr>
      <vt:lpstr>taper</vt:lpstr>
      <vt:lpstr>tc</vt:lpstr>
      <vt:lpstr>tmaxang</vt:lpstr>
      <vt:lpstr>tturn</vt:lpstr>
      <vt:lpstr>vcruise</vt:lpstr>
      <vt:lpstr>vturn</vt:lpstr>
      <vt:lpstr>W</vt:lpstr>
      <vt:lpstr>wbatts</vt:lpstr>
      <vt:lpstr>weightbat</vt:lpstr>
      <vt:lpstr>weightesc</vt:lpstr>
      <vt:lpstr>weightmotor</vt:lpstr>
      <vt:lpstr>wengs</vt:lpstr>
      <vt:lpstr>wfls</vt:lpstr>
      <vt:lpstr>whts</vt:lpstr>
      <vt:lpstr>wingload</vt:lpstr>
      <vt:lpstr>wlands</vt:lpstr>
      <vt:lpstr>wpays</vt:lpstr>
      <vt:lpstr>wstructs</vt:lpstr>
      <vt:lpstr>wsyss</vt:lpstr>
      <vt:lpstr>wvts</vt:lpstr>
      <vt:lpstr>wwings</vt:lpstr>
      <vt:lpstr>xac</vt:lpstr>
      <vt:lpstr>xacbar</vt:lpstr>
      <vt:lpstr>xcg</vt:lpstr>
      <vt:lpstr>xcgbar</vt:lpstr>
      <vt:lpstr>xn</vt:lpstr>
      <vt:lpstr>zh</vt:lpstr>
    </vt:vector>
  </TitlesOfParts>
  <Manager/>
  <Company>Rose-Hulman Inst of Tech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Laptop Software Suite</dc:creator>
  <cp:keywords/>
  <dc:description/>
  <cp:lastModifiedBy>Boling, Preston</cp:lastModifiedBy>
  <cp:revision/>
  <dcterms:created xsi:type="dcterms:W3CDTF">2000-11-30T14:54:33Z</dcterms:created>
  <dcterms:modified xsi:type="dcterms:W3CDTF">2023-05-09T19:21:07Z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0x010100801B2B327984054F99C2804C147B3530</vt:lpwstr>
  </property>
  <property fmtid="{D5CDD505-2E9C-101B-9397-08002B2CF9AE}" pid="3" name="MediaServiceImageTags">
    <vt:lpwstr/>
  </property>
</Properties>
</file>